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<sst xmlns="http://schemas.openxmlformats.org/spreadsheetml/2006/main" count="467" uniqueCount="181">
  <si>
    <t>Lp.</t>
  </si>
  <si>
    <t>Wyszczególnienie</t>
  </si>
  <si>
    <t>01.01</t>
  </si>
  <si>
    <t>Dochody ogółem</t>
  </si>
  <si>
    <t>30.06</t>
  </si>
  <si>
    <t>1.1</t>
  </si>
  <si>
    <t>Dochody bieżące, w tym: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</si>
  <si>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</si>
  <si>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</si>
  <si>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</si>
  <si>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</si>
  <si>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</si>
  <si>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opłaty, w tym: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</si>
  <si>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</si>
  <si>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</si>
  <si>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</si>
  <si>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</si>
  <si>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</si>
  <si>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</si>
  <si>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</si>
  <si>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</si>
  <si>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</si>
  <si>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</si>
  <si>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</si>
  <si>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</si>
  <si>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</si>
  <si>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</si>
  <si>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</si>
  <si>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</si>
  <si>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gwarancji, w tym:</t>
  </si>
  <si>
    <t>2.1.1.1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</si>
  <si>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</si>
  <si>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</si>
  <si>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</si>
  <si>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2.1.3</t>
  </si>
  <si>
    <t>wydatki na obsługę długu, w tym:</t>
  </si>
  <si>
    <t>2.1.3.1</t>
  </si>
  <si>
    <t>odsetki i dyskonto określone w art. 243 ust. 1 ustawy lub art. 169 ust. 1 ufp z 2005 r..</t>
  </si>
  <si>
    <t>2.2</t>
  </si>
  <si>
    <t>Wydatki majątkowe</t>
  </si>
  <si>
    <t>Wynik budżetu</t>
  </si>
  <si>
    <t>Przychody budżetu</t>
  </si>
  <si>
    <t>4.1</t>
  </si>
  <si>
    <t>Nadwyżka budżetowa z lat ubiegłych, w tym:</t>
  </si>
  <si>
    <t>4.1.1</t>
  </si>
  <si>
    <t>na pokrycie deficytu budżetu</t>
  </si>
  <si>
    <t>4.2</t>
  </si>
  <si>
    <t>Wolne środki, o których mowa w art. 217 ust.2 pkt 6 ustawy, w tym:</t>
  </si>
  <si>
    <t>4.2.1</t>
  </si>
  <si>
    <t>4.3</t>
  </si>
  <si>
    <t>Kredyty, pożyczki, emisja papierów wartościowych, w tym:</t>
  </si>
  <si>
    <t>4.3.1</t>
  </si>
  <si>
    <t>4.4</t>
  </si>
  <si>
    <t>Inne przychody niezwiązane z zaciągnięciem długu, w tym:</t>
  </si>
  <si>
    <t>4.4.1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</si>
  <si>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</si>
  <si>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</si>
  <si>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</si>
  <si>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</si>
  <si>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</si>
  <si>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>5.1.1.1</t>
  </si>
  <si>
    <t>kwota przypadających na dany rok kwot wyłączeń określonych w art. 243 ust. 3 pkt 1 ustawy lub art. 169 ust. 3 pkt 1 ufp z 2005 r.</t>
  </si>
  <si>
    <t>5.2</t>
  </si>
  <si>
    <t>Inne rozchody niezwiązane ze spłatą długu</t>
  </si>
  <si>
    <t>Kwota długu</t>
  </si>
  <si>
    <t>6.1</t>
  </si>
  <si>
    <t xml:space="preserve">Łączna kwota wyłączeń z ograniczeń długu określonych w art. 170 ust. 3 ufp z 2005 r. oraz w art. 36 ustawy o zmianie niektórych ustaw związanych z realizacją ustawy budżetowej, w tym: </t>
  </si>
  <si>
    <t>6.1.1</t>
  </si>
  <si>
    <t xml:space="preserve">kwota wyłączeń z ograniczeń długu określonych w art. 170 ust. 3 ufp z 2005 r. </t>
  </si>
  <si>
    <t>6.2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</si>
  <si>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</si>
  <si>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</si>
  <si>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6.3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</si>
  <si>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</si>
  <si>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</si>
  <si>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x</t>
  </si>
  <si>
    <t>8.1</t>
  </si>
  <si>
    <t>Różnica między dochodami bieżącymi a wydatkami bieżącymi</t>
  </si>
  <si>
    <t>8.2</t>
  </si>
  <si>
    <t>Różnica między dochodami bieżącymi, powiększonymi o nadwyżkę budżetową określoną w pkt 4.1. i wolne środki określone w pkt 4.2. a wydatkami bieżącymi, pomniejszonym o wydatki określone w pkt 2.1.2.</t>
  </si>
  <si>
    <t>Wskaźnik spłaty zobowiązań</t>
  </si>
  <si>
    <t>9.1</t>
  </si>
  <si>
    <t xml:space="preserve">Wskaźnik planowanej łącznej kwoty spłaty zobowiązań, o której mowa w art. 169 ust. 1 ufp z 2005 r. do dochodów ogółem, bez uwzględnienia wyłączeń określonych w pkt 5.1.1. </t>
  </si>
  <si>
    <t>9.2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</si>
  <si>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</si>
  <si>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>9.3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</si>
  <si>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</si>
  <si>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>9.4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</si>
  <si>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</si>
  <si>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9.5</t>
  </si>
  <si>
    <t xml:space="preserve">Kwota zobowiązań związku współtworzonego przez jednostkę samorządu terytorialnego przypadających do spłaty w danym roku budżetowym, podlegająca doliczeniu zgodnie z art. 244 ustawy </t>
  </si>
  <si>
    <t>9.6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</si>
  <si>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</si>
  <si>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</si>
  <si>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>Wskaźnik jednoroczny (prawa strona wzoru z art. 243)</t>
  </si>
  <si>
    <t>9.7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</si>
  <si>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</si>
  <si>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9.7.1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</si>
  <si>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</si>
  <si>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9.8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</si>
  <si>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</si>
  <si>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</si>
  <si>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</si>
  <si>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Spełniona</t>
  </si>
  <si>
    <t>Przeznaczenie prognozowanej nadwyżki budżetowej,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</si>
  <si>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</si>
  <si>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</si>
  <si>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</si>
  <si>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</si>
  <si>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</si>
  <si>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</si>
  <si>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</si>
  <si>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</si>
  <si>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 art. 226 ust. 3 ustawy, z tego: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</si>
  <si>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</si>
  <si>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</si>
  <si>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</si>
  <si>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</si>
  <si>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</si>
  <si>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</si>
  <si>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</si>
  <si>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</si>
  <si>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</si>
  <si>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</si>
  <si>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</si>
  <si>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</si>
  <si>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na programy, projekty lub zadania finansowane z udziałem środków, o których mowa w art. 5 ust. 1 pkt 2 i 3 ustawy, w tym:</t>
  </si>
  <si>
    <t>12.1.1</t>
  </si>
  <si>
    <t>środki określone w art. 5 ust. 1 pkt 2 ustawy, w tym:</t>
  </si>
  <si>
    <t>12.1.1.1</t>
  </si>
  <si>
    <t>środki określone w art. 5 ust. 1 pkt 2 ustawy wynikające wyłącznie z zawartych umów na realizację programu, projektu lub zadania</t>
  </si>
  <si>
    <t>12.2</t>
  </si>
  <si>
    <t>Dochody majątkowe na programy, projekty lub zadania finansowane z udziałem środków, o których mowa w art. 5 ust. 1 pkt 2 i 3 ustawy, w tym:</t>
  </si>
  <si>
    <t>12.2.1</t>
  </si>
  <si>
    <t>12.2.1.1</t>
  </si>
  <si>
    <t>12.3</t>
  </si>
  <si>
    <t>Wydatki bieżące na programy, projekty lub zadania finansowane z udziałem środków, o których mowa w art. 5 ust. 1 pkt 2 i 3 ustawy</t>
  </si>
  <si>
    <t>12.3.1</t>
  </si>
  <si>
    <t xml:space="preserve">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</si>
  <si>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</si>
  <si>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</si>
  <si>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</si>
  <si>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</si>
  <si>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</si>
  <si>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</si>
  <si>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</si>
  <si>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</si>
  <si>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</si>
  <si>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</si>
  <si>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</si>
  <si>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</si>
  <si>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dnia 15 kwietnia 2011 r.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</si>
  <si>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</si>
  <si>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</si>
  <si>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</si>
  <si>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o działalności leczniczej</t>
  </si>
  <si>
    <t>13.5</t>
  </si>
  <si>
    <t>Wydatki na spłatę przejętych zobowiązań samodzielnego publicznego zakładu opieki zdrowotnej likwidowanego na zasadach określonych w przepisach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</si>
  <si>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</si>
  <si>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</si>
  <si>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</si>
  <si>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</si>
  <si>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</si>
  <si>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</si>
  <si>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</si>
  <si>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</si>
  <si>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</si>
  <si>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</si>
  <si>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tym:</t>
  </si>
  <si>
    <t>14.3.1</t>
  </si>
  <si>
    <t>spłata zobowiązań wymagalnych z lat poprzednich, innych niż w pkt 14.3.3</t>
  </si>
  <si>
    <t>14.3.2</t>
  </si>
  <si>
    <t>związane z umowami zaliczanymi do tytułów dłużnych wliczanych w państwowy dług publiczny</t>
  </si>
  <si>
    <t>14.3.3</t>
  </si>
  <si>
    <t>wypłaty z tytułu wymagalnych poręczeń i gwarancji</t>
  </si>
  <si>
    <t>14.4</t>
  </si>
  <si>
    <t>Wynik operacji niekasowych wpływających na kwotę długu (m.in. umorzenia, różnice kursowe)</t>
  </si>
  <si>
    <t>na 01.01 wiersz nie występował</t>
  </si>
  <si>
    <t>wiersz nie wystepował na 01.01.2013r.</t>
  </si>
  <si>
    <t>wiersz nie występował na 01.01.2013r.</t>
  </si>
  <si>
    <t>Kształtowanie się Wieloletniej Prognozy finansowej Gminy Kleszczewo za I półrocze 2013r.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</si>
</sst>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%;[Red]\-0.00%"/>
    <numFmt numFmtId="166" formatCode="#,##0_ ;[Red]\-#,##0\ 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/>
      <right/>
      <top style="hair"/>
      <bottom/>
    </border>
    <border>
      <left/>
      <right/>
      <top/>
      <bottom style="thin"/>
    </border>
    <border>
      <left style="thin"/>
      <right style="hair"/>
      <top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64" fontId="2" fillId="0" borderId="10" xfId="51" applyNumberFormat="1" applyFont="1" applyFill="1" applyBorder="1" applyAlignment="1">
      <alignment vertical="center" shrinkToFit="1"/>
      <protection/>
    </xf>
    <xf numFmtId="164" fontId="3" fillId="0" borderId="10" xfId="51" applyNumberFormat="1" applyFont="1" applyFill="1" applyBorder="1" applyAlignment="1">
      <alignment vertical="center" shrinkToFit="1"/>
      <protection/>
    </xf>
    <xf numFmtId="10" fontId="3" fillId="0" borderId="10" xfId="51" applyNumberFormat="1" applyFont="1" applyFill="1" applyBorder="1" applyAlignment="1">
      <alignment vertical="center" shrinkToFit="1"/>
      <protection/>
    </xf>
    <xf numFmtId="165" fontId="3" fillId="0" borderId="11" xfId="51" applyNumberFormat="1" applyFont="1" applyFill="1" applyBorder="1" applyAlignment="1">
      <alignment vertical="center" shrinkToFit="1"/>
      <protection/>
    </xf>
    <xf numFmtId="165" fontId="3" fillId="0" borderId="10" xfId="51" applyNumberFormat="1" applyFont="1" applyFill="1" applyBorder="1" applyAlignment="1">
      <alignment vertical="center" shrinkToFit="1"/>
      <protection/>
    </xf>
    <xf numFmtId="0" fontId="41" fillId="0" borderId="12" xfId="0" applyFont="1" applyBorder="1" applyAlignment="1">
      <alignment horizontal="left" vertical="center"/>
    </xf>
    <xf numFmtId="164" fontId="2" fillId="0" borderId="10" xfId="51" applyNumberFormat="1" applyFont="1" applyFill="1" applyBorder="1" applyAlignment="1">
      <alignment horizontal="center" vertical="center" shrinkToFit="1"/>
      <protection/>
    </xf>
    <xf numFmtId="10" fontId="3" fillId="0" borderId="10" xfId="51" applyNumberFormat="1" applyFont="1" applyFill="1" applyBorder="1" applyAlignment="1">
      <alignment horizontal="right" vertical="center" shrinkToFit="1"/>
      <protection/>
    </xf>
    <xf numFmtId="165" fontId="3" fillId="0" borderId="10" xfId="51" applyNumberFormat="1" applyFont="1" applyFill="1" applyBorder="1" applyAlignment="1">
      <alignment horizontal="right" vertical="center" shrinkToFit="1"/>
      <protection/>
    </xf>
    <xf numFmtId="0" fontId="3" fillId="0" borderId="11" xfId="51" applyNumberFormat="1" applyFont="1" applyFill="1" applyBorder="1" applyAlignment="1">
      <alignment horizontal="center" vertical="center" shrinkToFit="1"/>
      <protection/>
    </xf>
    <xf numFmtId="0" fontId="3" fillId="0" borderId="10" xfId="51" applyNumberFormat="1" applyFont="1" applyFill="1" applyBorder="1" applyAlignment="1">
      <alignment horizontal="center" vertical="center" shrinkToFit="1"/>
      <protection/>
    </xf>
    <xf numFmtId="49" fontId="2" fillId="33" borderId="13" xfId="51" applyNumberFormat="1" applyFont="1" applyFill="1" applyBorder="1" applyAlignment="1">
      <alignment horizontal="center" vertical="center"/>
      <protection/>
    </xf>
    <xf numFmtId="49" fontId="2" fillId="33" borderId="14" xfId="51" applyNumberFormat="1" applyFont="1" applyFill="1" applyBorder="1" applyAlignment="1">
      <alignment horizontal="center" vertical="center"/>
      <protection/>
    </xf>
    <xf numFmtId="49" fontId="2" fillId="33" borderId="15" xfId="51" applyNumberFormat="1" applyFont="1" applyFill="1" applyBorder="1" applyAlignment="1">
      <alignment horizontal="center" vertical="center"/>
      <protection/>
    </xf>
    <xf numFmtId="1" fontId="2" fillId="33" borderId="16" xfId="51" applyNumberFormat="1" applyFont="1" applyFill="1" applyBorder="1" applyAlignment="1">
      <alignment horizontal="center" vertical="center"/>
      <protection/>
    </xf>
    <xf numFmtId="1" fontId="2" fillId="33" borderId="17" xfId="51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/>
    </xf>
    <xf numFmtId="49" fontId="3" fillId="34" borderId="10" xfId="51" applyNumberFormat="1" applyFont="1" applyFill="1" applyBorder="1" applyAlignment="1">
      <alignment horizontal="left" vertical="center"/>
      <protection/>
    </xf>
    <xf numFmtId="0" fontId="42" fillId="34" borderId="0" xfId="0" applyFont="1" applyFill="1" applyAlignment="1">
      <alignment/>
    </xf>
    <xf numFmtId="0" fontId="41" fillId="0" borderId="10" xfId="0" applyFont="1" applyBorder="1" applyAlignment="1">
      <alignment horizontal="left" vertical="center"/>
    </xf>
    <xf numFmtId="3" fontId="2" fillId="0" borderId="10" xfId="51" applyNumberFormat="1" applyFont="1" applyFill="1" applyBorder="1" applyAlignment="1">
      <alignment vertical="center" shrinkToFit="1"/>
      <protection/>
    </xf>
    <xf numFmtId="3" fontId="3" fillId="0" borderId="10" xfId="51" applyNumberFormat="1" applyFont="1" applyFill="1" applyBorder="1" applyAlignment="1">
      <alignment vertical="center" shrinkToFit="1"/>
      <protection/>
    </xf>
    <xf numFmtId="3" fontId="2" fillId="34" borderId="18" xfId="51" applyNumberFormat="1" applyFont="1" applyFill="1" applyBorder="1" applyAlignment="1">
      <alignment horizontal="right" vertical="center"/>
      <protection/>
    </xf>
    <xf numFmtId="3" fontId="2" fillId="34" borderId="19" xfId="51" applyNumberFormat="1" applyFont="1" applyFill="1" applyBorder="1" applyAlignment="1">
      <alignment horizontal="right" vertical="center"/>
      <protection/>
    </xf>
    <xf numFmtId="166" fontId="3" fillId="0" borderId="10" xfId="51" applyNumberFormat="1" applyFont="1" applyFill="1" applyBorder="1" applyAlignment="1">
      <alignment vertical="center" shrinkToFit="1"/>
      <protection/>
    </xf>
    <xf numFmtId="166" fontId="2" fillId="0" borderId="10" xfId="51" applyNumberFormat="1" applyFont="1" applyFill="1" applyBorder="1" applyAlignment="1">
      <alignment vertical="center" shrinkToFit="1"/>
      <protection/>
    </xf>
    <xf numFmtId="3" fontId="42" fillId="0" borderId="20" xfId="0" applyNumberFormat="1" applyFont="1" applyBorder="1" applyAlignment="1">
      <alignment vertical="center" shrinkToFit="1"/>
    </xf>
    <xf numFmtId="3" fontId="42" fillId="0" borderId="11" xfId="0" applyNumberFormat="1" applyFont="1" applyBorder="1" applyAlignment="1">
      <alignment vertical="center" shrinkToFit="1"/>
    </xf>
    <xf numFmtId="1" fontId="3" fillId="0" borderId="10" xfId="51" applyNumberFormat="1" applyFont="1" applyFill="1" applyBorder="1" applyAlignment="1">
      <alignment vertical="center" shrinkToFit="1"/>
      <protection/>
    </xf>
    <xf numFmtId="166" fontId="3" fillId="0" borderId="10" xfId="51" applyNumberFormat="1" applyFont="1" applyFill="1" applyBorder="1" applyAlignment="1">
      <alignment horizontal="right" vertical="center" shrinkToFit="1"/>
      <protection/>
    </xf>
    <xf numFmtId="3" fontId="3" fillId="0" borderId="10" xfId="51" applyNumberFormat="1" applyFont="1" applyFill="1" applyBorder="1" applyAlignment="1">
      <alignment horizontal="right" vertical="center" shrinkToFit="1"/>
      <protection/>
    </xf>
    <xf numFmtId="4" fontId="3" fillId="0" borderId="10" xfId="51" applyNumberFormat="1" applyFont="1" applyFill="1" applyBorder="1" applyAlignment="1">
      <alignment horizontal="right" vertical="center" shrinkToFit="1"/>
      <protection/>
    </xf>
    <xf numFmtId="4" fontId="2" fillId="34" borderId="18" xfId="51" applyNumberFormat="1" applyFont="1" applyFill="1" applyBorder="1" applyAlignment="1">
      <alignment horizontal="center" vertical="center"/>
      <protection/>
    </xf>
    <xf numFmtId="164" fontId="3" fillId="0" borderId="21" xfId="51" applyNumberFormat="1" applyFont="1" applyFill="1" applyBorder="1" applyAlignment="1">
      <alignment vertical="center" shrinkToFit="1"/>
      <protection/>
    </xf>
    <xf numFmtId="165" fontId="5" fillId="0" borderId="10" xfId="51" applyNumberFormat="1" applyFont="1" applyFill="1" applyBorder="1" applyAlignment="1">
      <alignment vertical="center" shrinkToFit="1"/>
      <protection/>
    </xf>
    <xf numFmtId="164" fontId="3" fillId="0" borderId="10" xfId="51" applyNumberFormat="1" applyFont="1" applyFill="1" applyBorder="1" applyAlignment="1">
      <alignment horizontal="right" vertical="center" shrinkToFit="1"/>
      <protection/>
    </xf>
    <xf numFmtId="164" fontId="5" fillId="0" borderId="10" xfId="51" applyNumberFormat="1" applyFont="1" applyFill="1" applyBorder="1" applyAlignment="1">
      <alignment horizontal="right" vertical="center" shrinkToFit="1"/>
      <protection/>
    </xf>
    <xf numFmtId="0" fontId="43" fillId="0" borderId="0" xfId="0" applyFont="1" applyAlignment="1">
      <alignment horizontal="center" vertical="center" wrapText="1"/>
    </xf>
    <xf numFmtId="164" fontId="3" fillId="0" borderId="22" xfId="51" applyNumberFormat="1" applyFont="1" applyFill="1" applyBorder="1" applyAlignment="1">
      <alignment vertical="center" shrinkToFit="1"/>
      <protection/>
    </xf>
    <xf numFmtId="0" fontId="0" fillId="0" borderId="18" xfId="0" applyBorder="1" applyAlignment="1">
      <alignment vertical="center" shrinkToFit="1"/>
    </xf>
    <xf numFmtId="164" fontId="3" fillId="0" borderId="22" xfId="51" applyNumberFormat="1" applyFont="1" applyFill="1" applyBorder="1" applyAlignment="1">
      <alignment horizontal="right" vertical="center" shrinkToFit="1"/>
      <protection/>
    </xf>
    <xf numFmtId="166" fontId="3" fillId="0" borderId="22" xfId="51" applyNumberFormat="1" applyFont="1" applyFill="1" applyBorder="1" applyAlignment="1">
      <alignment vertical="center" shrinkToFit="1"/>
      <protection/>
    </xf>
    <xf numFmtId="3" fontId="3" fillId="0" borderId="22" xfId="51" applyNumberFormat="1" applyFont="1" applyFill="1" applyBorder="1" applyAlignment="1">
      <alignment vertical="center" shrinkToFit="1"/>
      <protection/>
    </xf>
    <xf numFmtId="3" fontId="0" fillId="0" borderId="18" xfId="0" applyNumberFormat="1" applyBorder="1" applyAlignment="1">
      <alignment vertical="center" shrinkToFit="1"/>
    </xf>
    <xf numFmtId="164" fontId="3" fillId="0" borderId="21" xfId="51" applyNumberFormat="1" applyFont="1" applyFill="1" applyBorder="1" applyAlignment="1">
      <alignment vertical="center" shrinkToFit="1"/>
      <protection/>
    </xf>
    <xf numFmtId="0" fontId="0" fillId="0" borderId="2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65" fontId="3" fillId="0" borderId="21" xfId="51" applyNumberFormat="1" applyFont="1" applyFill="1" applyBorder="1" applyAlignment="1">
      <alignment vertical="center" shrinkToFit="1"/>
      <protection/>
    </xf>
    <xf numFmtId="166" fontId="3" fillId="0" borderId="22" xfId="51" applyNumberFormat="1" applyFont="1" applyFill="1" applyBorder="1" applyAlignment="1">
      <alignment horizontal="right" vertical="center" shrinkToFit="1"/>
      <protection/>
    </xf>
    <xf numFmtId="0" fontId="0" fillId="0" borderId="18" xfId="0" applyBorder="1" applyAlignment="1">
      <alignment horizontal="right" vertical="center" shrinkToFit="1"/>
    </xf>
    <xf numFmtId="4" fontId="3" fillId="0" borderId="22" xfId="51" applyNumberFormat="1" applyFont="1" applyFill="1" applyBorder="1" applyAlignment="1">
      <alignment vertical="center" shrinkToFit="1"/>
      <protection/>
    </xf>
    <xf numFmtId="0" fontId="42" fillId="0" borderId="18" xfId="0" applyFont="1" applyBorder="1" applyAlignment="1">
      <alignment vertical="center" shrinkToFit="1"/>
    </xf>
    <xf numFmtId="166" fontId="2" fillId="0" borderId="22" xfId="51" applyNumberFormat="1" applyFont="1" applyFill="1" applyBorder="1" applyAlignment="1">
      <alignment vertical="center" shrinkToFit="1"/>
      <protection/>
    </xf>
    <xf numFmtId="3" fontId="2" fillId="34" borderId="22" xfId="51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 vertical="center"/>
    </xf>
    <xf numFmtId="3" fontId="3" fillId="0" borderId="22" xfId="51" applyNumberFormat="1" applyFont="1" applyFill="1" applyBorder="1" applyAlignment="1">
      <alignment vertical="center" wrapText="1" shrinkToFit="1"/>
      <protection/>
    </xf>
    <xf numFmtId="0" fontId="0" fillId="0" borderId="18" xfId="0" applyBorder="1" applyAlignment="1">
      <alignment vertical="center" wrapText="1" shrinkToFit="1"/>
    </xf>
    <xf numFmtId="3" fontId="2" fillId="34" borderId="22" xfId="51" applyNumberFormat="1" applyFont="1" applyFill="1" applyBorder="1" applyAlignment="1">
      <alignment horizontal="right" vertical="center" wrapText="1"/>
      <protection/>
    </xf>
    <xf numFmtId="0" fontId="0" fillId="0" borderId="18" xfId="0" applyBorder="1" applyAlignment="1">
      <alignment vertical="center" wrapText="1"/>
    </xf>
    <xf numFmtId="0" fontId="41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 wrapText="1" indent="1"/>
    </xf>
    <xf numFmtId="0" fontId="42" fillId="0" borderId="26" xfId="0" applyFont="1" applyBorder="1" applyAlignment="1">
      <alignment horizontal="left" vertical="center" wrapText="1"/>
    </xf>
    <xf numFmtId="0" fontId="42" fillId="0" borderId="20" xfId="0" applyFont="1" applyBorder="1" applyAlignment="1">
      <alignment vertical="center" shrinkToFit="1"/>
    </xf>
    <xf numFmtId="0" fontId="42" fillId="0" borderId="11" xfId="0" applyFont="1" applyBorder="1" applyAlignment="1">
      <alignment vertical="center" shrinkToFit="1"/>
    </xf>
    <xf numFmtId="0" fontId="42" fillId="0" borderId="27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 wrapText="1" indent="2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 indent="2"/>
    </xf>
    <xf numFmtId="0" fontId="41" fillId="0" borderId="25" xfId="0" applyFont="1" applyBorder="1" applyAlignment="1">
      <alignment horizontal="left" vertical="center" wrapText="1"/>
    </xf>
    <xf numFmtId="0" fontId="42" fillId="0" borderId="28" xfId="0" applyFont="1" applyBorder="1" applyAlignment="1">
      <alignment vertical="center" wrapText="1"/>
    </xf>
    <xf numFmtId="0" fontId="42" fillId="0" borderId="28" xfId="0" applyFont="1" applyBorder="1" applyAlignment="1">
      <alignment horizontal="left" vertical="center" wrapText="1" indent="1"/>
    </xf>
    <xf numFmtId="0" fontId="44" fillId="0" borderId="23" xfId="0" applyFont="1" applyBorder="1" applyAlignment="1">
      <alignment horizontal="left" vertical="center"/>
    </xf>
    <xf numFmtId="0" fontId="44" fillId="0" borderId="25" xfId="0" applyFont="1" applyBorder="1" applyAlignment="1">
      <alignment vertical="center" wrapText="1"/>
    </xf>
    <xf numFmtId="0" fontId="44" fillId="0" borderId="25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 indent="3"/>
    </xf>
    <xf numFmtId="0" fontId="41" fillId="0" borderId="23" xfId="0" applyFont="1" applyBorder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 wrapText="1" indent="2"/>
      <protection locked="0"/>
    </xf>
    <xf numFmtId="0" fontId="41" fillId="0" borderId="28" xfId="0" applyFont="1" applyBorder="1" applyAlignment="1">
      <alignment horizontal="left" vertical="center" wrapText="1" indent="2"/>
    </xf>
    <xf numFmtId="0" fontId="44" fillId="0" borderId="28" xfId="0" applyFont="1" applyBorder="1" applyAlignment="1">
      <alignment vertical="center" wrapText="1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6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view="pageLayout" workbookViewId="0" topLeftCell="A171">
      <selection activeCell="C13" sqref="C13:C14"/>
    </sheetView>
  </sheetViews>
  <sheetFormatPr defaultColWidth="9.140625" defaultRowHeight="15" outlineLevelRow="3"/>
  <cols>
    <col min="1" max="1" width="5.7109375" style="17" customWidth="1"/>
    <col min="2" max="2" width="5.140625" style="17" customWidth="1"/>
    <col min="3" max="3" width="42.8515625" style="17" customWidth="1"/>
    <col min="4" max="4" width="11.57421875" style="17" customWidth="1"/>
    <col min="5" max="5" width="9.8515625" style="17" customWidth="1"/>
    <col min="6" max="6" width="9.57421875" style="17" customWidth="1"/>
    <col min="7" max="7" width="9.28125" style="17" customWidth="1"/>
    <col min="8" max="8" width="9.140625" style="17" customWidth="1"/>
    <col min="9" max="10" width="9.28125" style="17" customWidth="1"/>
    <col min="11" max="11" width="9.421875" style="17" customWidth="1"/>
    <col min="12" max="12" width="9.28125" style="17" customWidth="1"/>
    <col min="13" max="13" width="9.421875" style="17" customWidth="1"/>
    <col min="14" max="14" width="8.8515625" style="17" customWidth="1"/>
    <col min="15" max="15" width="9.421875" style="17" customWidth="1"/>
    <col min="16" max="16384" width="9.140625" style="17" customWidth="1"/>
  </cols>
  <sheetData>
    <row r="1" spans="1:15" ht="12">
      <c r="A1" s="38" t="s">
        <v>180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4" spans="1:15" ht="12">
      <c r="A4" s="12" t="s">
        <v>0</v>
      </c>
      <c r="B4" s="13"/>
      <c r="C4" s="14" t="s">
        <v>1</v>
      </c>
      <c r="D4" s="16">
        <v>2013</v>
      </c>
      <c r="E4" s="16">
        <v>2014</v>
      </c>
      <c r="F4" s="15">
        <v>2015</v>
      </c>
      <c r="G4" s="16">
        <v>2016</v>
      </c>
      <c r="H4" s="15">
        <v>2017</v>
      </c>
      <c r="I4" s="16">
        <v>2018</v>
      </c>
      <c r="J4" s="15">
        <v>2019</v>
      </c>
      <c r="K4" s="16">
        <v>2020</v>
      </c>
      <c r="L4" s="15">
        <v>2021</v>
      </c>
      <c r="M4" s="16">
        <v>2022</v>
      </c>
      <c r="N4" s="15">
        <v>2023</v>
      </c>
      <c r="O4" s="16">
        <v>2024</v>
      </c>
    </row>
    <row r="5" spans="1:15" s="19" customFormat="1" ht="12">
      <c r="A5" s="73">
        <v>1</v>
      </c>
      <c r="B5" s="18" t="s">
        <v>2</v>
      </c>
      <c r="C5" s="74" t="s">
        <v>3</v>
      </c>
      <c r="D5" s="33">
        <v>20785883</v>
      </c>
      <c r="E5" s="23">
        <v>21250000</v>
      </c>
      <c r="F5" s="24">
        <v>20852000</v>
      </c>
      <c r="G5" s="54">
        <v>20700000</v>
      </c>
      <c r="H5" s="54">
        <v>21300000</v>
      </c>
      <c r="I5" s="54">
        <v>21900000</v>
      </c>
      <c r="J5" s="54">
        <v>22500000</v>
      </c>
      <c r="K5" s="54">
        <v>23000000</v>
      </c>
      <c r="L5" s="58">
        <v>23468000</v>
      </c>
      <c r="M5" s="54">
        <v>23937000</v>
      </c>
      <c r="N5" s="54">
        <v>24416000</v>
      </c>
      <c r="O5" s="54">
        <v>24900000</v>
      </c>
    </row>
    <row r="6" spans="1:15" ht="12" outlineLevel="1">
      <c r="A6" s="81"/>
      <c r="B6" s="20" t="s">
        <v>4</v>
      </c>
      <c r="C6" s="82"/>
      <c r="D6" s="1">
        <f>22025356.34</f>
        <v>22025356.34</v>
      </c>
      <c r="E6" s="21">
        <f>19850045</f>
        <v>19850045</v>
      </c>
      <c r="F6" s="21">
        <f>20979000</f>
        <v>20979000</v>
      </c>
      <c r="G6" s="55"/>
      <c r="H6" s="55"/>
      <c r="I6" s="55"/>
      <c r="J6" s="55"/>
      <c r="K6" s="55"/>
      <c r="L6" s="59"/>
      <c r="M6" s="55"/>
      <c r="N6" s="55"/>
      <c r="O6" s="55"/>
    </row>
    <row r="7" spans="1:15" ht="12" outlineLevel="1">
      <c r="A7" s="60" t="s">
        <v>5</v>
      </c>
      <c r="B7" s="18" t="s">
        <v>2</v>
      </c>
      <c r="C7" s="70" t="s">
        <v>6</v>
      </c>
      <c r="D7" s="2">
        <v>18582498</v>
      </c>
      <c r="E7" s="22">
        <v>19300000</v>
      </c>
      <c r="F7" s="43">
        <v>20100000</v>
      </c>
      <c r="G7" s="43">
        <v>20700000</v>
      </c>
      <c r="H7" s="56">
        <v>21300000</v>
      </c>
      <c r="I7" s="43">
        <v>21900000</v>
      </c>
      <c r="J7" s="43">
        <v>22500000</v>
      </c>
      <c r="K7" s="43">
        <v>23000000</v>
      </c>
      <c r="L7" s="43">
        <v>23468000</v>
      </c>
      <c r="M7" s="43">
        <v>23937000</v>
      </c>
      <c r="N7" s="43">
        <v>24416000</v>
      </c>
      <c r="O7" s="43">
        <v>24900000</v>
      </c>
    </row>
    <row r="8" spans="1:15" ht="12" outlineLevel="2">
      <c r="A8" s="66"/>
      <c r="B8" s="20" t="s">
        <v>4</v>
      </c>
      <c r="C8" s="71"/>
      <c r="D8" s="2">
        <f>19306623.34</f>
        <v>19306623.34</v>
      </c>
      <c r="E8" s="22">
        <f>19300045</f>
        <v>19300045</v>
      </c>
      <c r="F8" s="40"/>
      <c r="G8" s="40"/>
      <c r="H8" s="57"/>
      <c r="I8" s="40"/>
      <c r="J8" s="40"/>
      <c r="K8" s="40"/>
      <c r="L8" s="40"/>
      <c r="M8" s="40"/>
      <c r="N8" s="40"/>
      <c r="O8" s="40"/>
    </row>
    <row r="9" spans="1:15" ht="12" outlineLevel="2">
      <c r="A9" s="60" t="s">
        <v>7</v>
      </c>
      <c r="B9" s="18" t="s">
        <v>2</v>
      </c>
      <c r="C9" s="70" t="s">
        <v>8</v>
      </c>
      <c r="D9" s="45" t="s">
        <v>177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</row>
    <row r="10" spans="1:15" ht="12" outlineLevel="3">
      <c r="A10" s="66"/>
      <c r="B10" s="20" t="s">
        <v>4</v>
      </c>
      <c r="C10" s="71"/>
      <c r="D10" s="2">
        <f>5427668</f>
        <v>5427668</v>
      </c>
      <c r="E10" s="25">
        <f>5862000</f>
        <v>5862000</v>
      </c>
      <c r="F10" s="25">
        <f>6330000</f>
        <v>6330000</v>
      </c>
      <c r="G10" s="25">
        <f>5774000</f>
        <v>5774000</v>
      </c>
      <c r="H10" s="25">
        <f>0</f>
        <v>0</v>
      </c>
      <c r="I10" s="25">
        <f>0</f>
        <v>0</v>
      </c>
      <c r="J10" s="25">
        <f>0</f>
        <v>0</v>
      </c>
      <c r="K10" s="25">
        <f>0</f>
        <v>0</v>
      </c>
      <c r="L10" s="25">
        <f>0</f>
        <v>0</v>
      </c>
      <c r="M10" s="25">
        <f>0</f>
        <v>0</v>
      </c>
      <c r="N10" s="25">
        <f>0</f>
        <v>0</v>
      </c>
      <c r="O10" s="25">
        <f>0</f>
        <v>0</v>
      </c>
    </row>
    <row r="11" spans="1:15" ht="12" outlineLevel="3">
      <c r="A11" s="60" t="s">
        <v>9</v>
      </c>
      <c r="B11" s="18" t="s">
        <v>2</v>
      </c>
      <c r="C11" s="67" t="s">
        <v>10</v>
      </c>
      <c r="D11" s="45" t="s">
        <v>177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15" ht="12" outlineLevel="3">
      <c r="A12" s="66"/>
      <c r="B12" s="20" t="s">
        <v>4</v>
      </c>
      <c r="C12" s="69"/>
      <c r="D12" s="2">
        <f>74400</f>
        <v>74400</v>
      </c>
      <c r="E12" s="25">
        <f>80000</f>
        <v>80000</v>
      </c>
      <c r="F12" s="25">
        <f>80000</f>
        <v>80000</v>
      </c>
      <c r="G12" s="25">
        <f>81600</f>
        <v>81600</v>
      </c>
      <c r="H12" s="25">
        <f>0</f>
        <v>0</v>
      </c>
      <c r="I12" s="25">
        <f>0</f>
        <v>0</v>
      </c>
      <c r="J12" s="25">
        <f>0</f>
        <v>0</v>
      </c>
      <c r="K12" s="25">
        <f>0</f>
        <v>0</v>
      </c>
      <c r="L12" s="25">
        <f>0</f>
        <v>0</v>
      </c>
      <c r="M12" s="25">
        <f>0</f>
        <v>0</v>
      </c>
      <c r="N12" s="25">
        <f>0</f>
        <v>0</v>
      </c>
      <c r="O12" s="25">
        <f>0</f>
        <v>0</v>
      </c>
    </row>
    <row r="13" spans="1:15" ht="12" outlineLevel="3">
      <c r="A13" s="60" t="s">
        <v>11</v>
      </c>
      <c r="B13" s="18" t="s">
        <v>2</v>
      </c>
      <c r="C13" s="67" t="s">
        <v>12</v>
      </c>
      <c r="D13" s="45" t="s">
        <v>177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</row>
    <row r="14" spans="1:15" ht="12" outlineLevel="3">
      <c r="A14" s="66"/>
      <c r="B14" s="20" t="s">
        <v>4</v>
      </c>
      <c r="C14" s="69"/>
      <c r="D14" s="2">
        <f>3784654</f>
        <v>3784654</v>
      </c>
      <c r="E14" s="25">
        <f>3887000</f>
        <v>3887000</v>
      </c>
      <c r="F14" s="25">
        <f>4004000</f>
        <v>4004000</v>
      </c>
      <c r="G14" s="25">
        <f>4125000</f>
        <v>4125000</v>
      </c>
      <c r="H14" s="25">
        <f>0</f>
        <v>0</v>
      </c>
      <c r="I14" s="25">
        <f>0</f>
        <v>0</v>
      </c>
      <c r="J14" s="25">
        <f>0</f>
        <v>0</v>
      </c>
      <c r="K14" s="25">
        <f>0</f>
        <v>0</v>
      </c>
      <c r="L14" s="25">
        <f>0</f>
        <v>0</v>
      </c>
      <c r="M14" s="25">
        <f>0</f>
        <v>0</v>
      </c>
      <c r="N14" s="25">
        <f>0</f>
        <v>0</v>
      </c>
      <c r="O14" s="25">
        <f>0</f>
        <v>0</v>
      </c>
    </row>
    <row r="15" spans="1:15" ht="12" outlineLevel="3">
      <c r="A15" s="60" t="s">
        <v>13</v>
      </c>
      <c r="B15" s="18" t="s">
        <v>2</v>
      </c>
      <c r="C15" s="76" t="s">
        <v>14</v>
      </c>
      <c r="D15" s="45" t="s">
        <v>177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</row>
    <row r="16" spans="1:15" ht="12" outlineLevel="3">
      <c r="A16" s="66"/>
      <c r="B16" s="20" t="s">
        <v>4</v>
      </c>
      <c r="C16" s="68"/>
      <c r="D16" s="2">
        <f>1954000</f>
        <v>1954000</v>
      </c>
      <c r="E16" s="25">
        <f>2012000</f>
        <v>2012000</v>
      </c>
      <c r="F16" s="25">
        <f>2073000</f>
        <v>2073000</v>
      </c>
      <c r="G16" s="25">
        <f>2135000</f>
        <v>2135000</v>
      </c>
      <c r="H16" s="25">
        <f>0</f>
        <v>0</v>
      </c>
      <c r="I16" s="25">
        <f>0</f>
        <v>0</v>
      </c>
      <c r="J16" s="25">
        <f>0</f>
        <v>0</v>
      </c>
      <c r="K16" s="25">
        <f>0</f>
        <v>0</v>
      </c>
      <c r="L16" s="25">
        <f>0</f>
        <v>0</v>
      </c>
      <c r="M16" s="25">
        <f>0</f>
        <v>0</v>
      </c>
      <c r="N16" s="25">
        <f>0</f>
        <v>0</v>
      </c>
      <c r="O16" s="25">
        <f>0</f>
        <v>0</v>
      </c>
    </row>
    <row r="17" spans="1:15" ht="12" outlineLevel="3">
      <c r="A17" s="60" t="s">
        <v>15</v>
      </c>
      <c r="B17" s="18" t="s">
        <v>2</v>
      </c>
      <c r="C17" s="67" t="s">
        <v>16</v>
      </c>
      <c r="D17" s="45" t="s">
        <v>177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</row>
    <row r="18" spans="1:15" ht="12" outlineLevel="3">
      <c r="A18" s="66"/>
      <c r="B18" s="20" t="s">
        <v>4</v>
      </c>
      <c r="C18" s="68"/>
      <c r="D18" s="2">
        <f>7405983</f>
        <v>7405983</v>
      </c>
      <c r="E18" s="25">
        <f>7620000</f>
        <v>7620000</v>
      </c>
      <c r="F18" s="25">
        <f>7848000</f>
        <v>7848000</v>
      </c>
      <c r="G18" s="25">
        <f>8005000</f>
        <v>8005000</v>
      </c>
      <c r="H18" s="25">
        <f>0</f>
        <v>0</v>
      </c>
      <c r="I18" s="25">
        <f>0</f>
        <v>0</v>
      </c>
      <c r="J18" s="25">
        <f>0</f>
        <v>0</v>
      </c>
      <c r="K18" s="25">
        <f>0</f>
        <v>0</v>
      </c>
      <c r="L18" s="25">
        <f>0</f>
        <v>0</v>
      </c>
      <c r="M18" s="25">
        <f>0</f>
        <v>0</v>
      </c>
      <c r="N18" s="25">
        <f>0</f>
        <v>0</v>
      </c>
      <c r="O18" s="25">
        <f>0</f>
        <v>0</v>
      </c>
    </row>
    <row r="19" spans="1:15" ht="12" outlineLevel="3">
      <c r="A19" s="60" t="s">
        <v>17</v>
      </c>
      <c r="B19" s="18" t="s">
        <v>2</v>
      </c>
      <c r="C19" s="67" t="s">
        <v>18</v>
      </c>
      <c r="D19" s="45" t="s">
        <v>177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</row>
    <row r="20" spans="1:15" ht="12" outlineLevel="3">
      <c r="A20" s="66"/>
      <c r="B20" s="20" t="s">
        <v>4</v>
      </c>
      <c r="C20" s="69"/>
      <c r="D20" s="2">
        <f>2173770</f>
        <v>2173770</v>
      </c>
      <c r="E20" s="22">
        <f>1486000</f>
        <v>1486000</v>
      </c>
      <c r="F20" s="22">
        <f>1490000</f>
        <v>1490000</v>
      </c>
      <c r="G20" s="22">
        <f>1500000</f>
        <v>1500000</v>
      </c>
      <c r="H20" s="22">
        <f>0</f>
        <v>0</v>
      </c>
      <c r="I20" s="22">
        <f>0</f>
        <v>0</v>
      </c>
      <c r="J20" s="22">
        <f>0</f>
        <v>0</v>
      </c>
      <c r="K20" s="22">
        <f>0</f>
        <v>0</v>
      </c>
      <c r="L20" s="22">
        <f>0</f>
        <v>0</v>
      </c>
      <c r="M20" s="22">
        <f>0</f>
        <v>0</v>
      </c>
      <c r="N20" s="22">
        <f>0</f>
        <v>0</v>
      </c>
      <c r="O20" s="22">
        <f>0</f>
        <v>0</v>
      </c>
    </row>
    <row r="21" spans="1:15" ht="12" outlineLevel="3">
      <c r="A21" s="60" t="s">
        <v>19</v>
      </c>
      <c r="B21" s="18" t="s">
        <v>2</v>
      </c>
      <c r="C21" s="62" t="s">
        <v>20</v>
      </c>
      <c r="D21" s="2">
        <v>2203385</v>
      </c>
      <c r="E21" s="22">
        <v>1950000</v>
      </c>
      <c r="F21" s="22">
        <v>752000</v>
      </c>
      <c r="G21" s="22">
        <v>0</v>
      </c>
      <c r="H21" s="22">
        <v>0</v>
      </c>
      <c r="I21" s="22">
        <f>0</f>
        <v>0</v>
      </c>
      <c r="J21" s="22">
        <f>0</f>
        <v>0</v>
      </c>
      <c r="K21" s="22">
        <f>0</f>
        <v>0</v>
      </c>
      <c r="L21" s="22">
        <f>0</f>
        <v>0</v>
      </c>
      <c r="M21" s="22">
        <f>0</f>
        <v>0</v>
      </c>
      <c r="N21" s="22">
        <f>0</f>
        <v>0</v>
      </c>
      <c r="O21" s="22">
        <f>0</f>
        <v>0</v>
      </c>
    </row>
    <row r="22" spans="1:15" ht="12" outlineLevel="2">
      <c r="A22" s="66"/>
      <c r="B22" s="20" t="s">
        <v>4</v>
      </c>
      <c r="C22" s="68"/>
      <c r="D22" s="2">
        <f>2718733</f>
        <v>2718733</v>
      </c>
      <c r="E22" s="22">
        <f>550000</f>
        <v>550000</v>
      </c>
      <c r="F22" s="22">
        <f>879000</f>
        <v>879000</v>
      </c>
      <c r="G22" s="22">
        <f>0</f>
        <v>0</v>
      </c>
      <c r="H22" s="22">
        <f>0</f>
        <v>0</v>
      </c>
      <c r="I22" s="22">
        <f>0</f>
        <v>0</v>
      </c>
      <c r="J22" s="22">
        <f>0</f>
        <v>0</v>
      </c>
      <c r="K22" s="22">
        <f>0</f>
        <v>0</v>
      </c>
      <c r="L22" s="22">
        <f>0</f>
        <v>0</v>
      </c>
      <c r="M22" s="22">
        <f>0</f>
        <v>0</v>
      </c>
      <c r="N22" s="22">
        <f>0</f>
        <v>0</v>
      </c>
      <c r="O22" s="22">
        <f>0</f>
        <v>0</v>
      </c>
    </row>
    <row r="23" spans="1:15" ht="12" outlineLevel="2">
      <c r="A23" s="60" t="s">
        <v>21</v>
      </c>
      <c r="B23" s="18" t="s">
        <v>2</v>
      </c>
      <c r="C23" s="67" t="s">
        <v>22</v>
      </c>
      <c r="D23" s="2">
        <v>1443196</v>
      </c>
      <c r="E23" s="22">
        <v>550000</v>
      </c>
      <c r="F23" s="22">
        <v>326000</v>
      </c>
      <c r="G23" s="22">
        <v>0</v>
      </c>
      <c r="H23" s="22">
        <v>0</v>
      </c>
      <c r="I23" s="22">
        <f>0</f>
        <v>0</v>
      </c>
      <c r="J23" s="22">
        <f>0</f>
        <v>0</v>
      </c>
      <c r="K23" s="22">
        <f>0</f>
        <v>0</v>
      </c>
      <c r="L23" s="22">
        <f>0</f>
        <v>0</v>
      </c>
      <c r="M23" s="22">
        <f>0</f>
        <v>0</v>
      </c>
      <c r="N23" s="22">
        <f>0</f>
        <v>0</v>
      </c>
      <c r="O23" s="22">
        <f>0</f>
        <v>0</v>
      </c>
    </row>
    <row r="24" spans="1:15" ht="12" outlineLevel="3">
      <c r="A24" s="66"/>
      <c r="B24" s="20" t="s">
        <v>4</v>
      </c>
      <c r="C24" s="79"/>
      <c r="D24" s="2">
        <f>1443196</f>
        <v>1443196</v>
      </c>
      <c r="E24" s="22">
        <f>550000</f>
        <v>550000</v>
      </c>
      <c r="F24" s="22">
        <f>326000</f>
        <v>326000</v>
      </c>
      <c r="G24" s="22">
        <f>0</f>
        <v>0</v>
      </c>
      <c r="H24" s="22">
        <f>0</f>
        <v>0</v>
      </c>
      <c r="I24" s="22">
        <f>0</f>
        <v>0</v>
      </c>
      <c r="J24" s="22">
        <f>0</f>
        <v>0</v>
      </c>
      <c r="K24" s="22">
        <f>0</f>
        <v>0</v>
      </c>
      <c r="L24" s="22">
        <f>0</f>
        <v>0</v>
      </c>
      <c r="M24" s="22">
        <f>0</f>
        <v>0</v>
      </c>
      <c r="N24" s="22">
        <f>0</f>
        <v>0</v>
      </c>
      <c r="O24" s="22">
        <f>0</f>
        <v>0</v>
      </c>
    </row>
    <row r="25" spans="1:15" ht="12" outlineLevel="3">
      <c r="A25" s="60" t="s">
        <v>23</v>
      </c>
      <c r="B25" s="18" t="s">
        <v>2</v>
      </c>
      <c r="C25" s="67" t="s">
        <v>24</v>
      </c>
      <c r="D25" s="34">
        <v>745743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</row>
    <row r="26" spans="1:15" ht="12" outlineLevel="3">
      <c r="A26" s="66"/>
      <c r="B26" s="20" t="s">
        <v>4</v>
      </c>
      <c r="C26" s="69"/>
      <c r="D26" s="2">
        <f>1268091</f>
        <v>1268091</v>
      </c>
      <c r="E26" s="22">
        <f>0</f>
        <v>0</v>
      </c>
      <c r="F26" s="22">
        <f>0</f>
        <v>0</v>
      </c>
      <c r="G26" s="22">
        <f>0</f>
        <v>0</v>
      </c>
      <c r="H26" s="22">
        <f>0</f>
        <v>0</v>
      </c>
      <c r="I26" s="22">
        <f>0</f>
        <v>0</v>
      </c>
      <c r="J26" s="22">
        <f>0</f>
        <v>0</v>
      </c>
      <c r="K26" s="22">
        <f>0</f>
        <v>0</v>
      </c>
      <c r="L26" s="22">
        <f>0</f>
        <v>0</v>
      </c>
      <c r="M26" s="22">
        <f>0</f>
        <v>0</v>
      </c>
      <c r="N26" s="22">
        <f>0</f>
        <v>0</v>
      </c>
      <c r="O26" s="22">
        <f>0</f>
        <v>0</v>
      </c>
    </row>
    <row r="27" spans="1:15" ht="12" outlineLevel="3">
      <c r="A27" s="73">
        <v>2</v>
      </c>
      <c r="B27" s="18" t="s">
        <v>2</v>
      </c>
      <c r="C27" s="74" t="s">
        <v>25</v>
      </c>
      <c r="D27" s="2">
        <v>19450748</v>
      </c>
      <c r="E27" s="25">
        <v>21215010</v>
      </c>
      <c r="F27" s="25">
        <v>19551840</v>
      </c>
      <c r="G27" s="25">
        <v>19784865</v>
      </c>
      <c r="H27" s="25">
        <v>20384865</v>
      </c>
      <c r="I27" s="25">
        <v>21034485</v>
      </c>
      <c r="J27" s="25">
        <v>21724449</v>
      </c>
      <c r="K27" s="25">
        <v>22483329</v>
      </c>
      <c r="L27" s="25">
        <v>22966449</v>
      </c>
      <c r="M27" s="25">
        <v>23435449</v>
      </c>
      <c r="N27" s="25">
        <v>23961849</v>
      </c>
      <c r="O27" s="25">
        <v>24660950</v>
      </c>
    </row>
    <row r="28" spans="1:15" ht="12" outlineLevel="1">
      <c r="A28" s="66"/>
      <c r="B28" s="20" t="s">
        <v>4</v>
      </c>
      <c r="C28" s="80"/>
      <c r="D28" s="1">
        <f>21687098.34</f>
        <v>21687098.34</v>
      </c>
      <c r="E28" s="26">
        <f>19815010</f>
        <v>19815010</v>
      </c>
      <c r="F28" s="26">
        <f>20604965</f>
        <v>20604965</v>
      </c>
      <c r="G28" s="26">
        <f>19784865</f>
        <v>19784865</v>
      </c>
      <c r="H28" s="26">
        <f>20384865</f>
        <v>20384865</v>
      </c>
      <c r="I28" s="26">
        <f>21034485</f>
        <v>21034485</v>
      </c>
      <c r="J28" s="26">
        <f>21724449</f>
        <v>21724449</v>
      </c>
      <c r="K28" s="26">
        <f>22418449</f>
        <v>22418449</v>
      </c>
      <c r="L28" s="26">
        <f>22751149</f>
        <v>22751149</v>
      </c>
      <c r="M28" s="26">
        <f>23220149</f>
        <v>23220149</v>
      </c>
      <c r="N28" s="26">
        <f>23746549</f>
        <v>23746549</v>
      </c>
      <c r="O28" s="26">
        <f>24445650</f>
        <v>24445650</v>
      </c>
    </row>
    <row r="29" spans="1:15" ht="12" outlineLevel="1">
      <c r="A29" s="60" t="s">
        <v>26</v>
      </c>
      <c r="B29" s="18" t="s">
        <v>2</v>
      </c>
      <c r="C29" s="70" t="s">
        <v>27</v>
      </c>
      <c r="D29" s="2">
        <v>18246178</v>
      </c>
      <c r="E29" s="25">
        <v>18607000</v>
      </c>
      <c r="F29" s="25">
        <v>18893975</v>
      </c>
      <c r="G29" s="25">
        <v>19201000</v>
      </c>
      <c r="H29" s="25">
        <v>19530000</v>
      </c>
      <c r="I29" s="25">
        <v>19884000</v>
      </c>
      <c r="J29" s="25">
        <v>20247000</v>
      </c>
      <c r="K29" s="25">
        <v>20600000</v>
      </c>
      <c r="L29" s="25">
        <v>20779000</v>
      </c>
      <c r="M29" s="25">
        <v>20954000</v>
      </c>
      <c r="N29" s="25">
        <v>21136000</v>
      </c>
      <c r="O29" s="25">
        <v>21326000</v>
      </c>
    </row>
    <row r="30" spans="1:15" ht="12" outlineLevel="2">
      <c r="A30" s="66"/>
      <c r="B30" s="20" t="s">
        <v>4</v>
      </c>
      <c r="C30" s="71"/>
      <c r="D30" s="2">
        <f>19126038.34</f>
        <v>19126038.34</v>
      </c>
      <c r="E30" s="25">
        <f>18607000</f>
        <v>18607000</v>
      </c>
      <c r="F30" s="25">
        <f>18853975</f>
        <v>18853975</v>
      </c>
      <c r="G30" s="25">
        <f>19201000</f>
        <v>19201000</v>
      </c>
      <c r="H30" s="25">
        <f>19530000</f>
        <v>19530000</v>
      </c>
      <c r="I30" s="25">
        <f>19884000</f>
        <v>19884000</v>
      </c>
      <c r="J30" s="25">
        <f>20247000</f>
        <v>20247000</v>
      </c>
      <c r="K30" s="25">
        <f>20600000</f>
        <v>20600000</v>
      </c>
      <c r="L30" s="25">
        <f>20779000</f>
        <v>20779000</v>
      </c>
      <c r="M30" s="25">
        <f>20954000</f>
        <v>20954000</v>
      </c>
      <c r="N30" s="25">
        <f>21136000</f>
        <v>21136000</v>
      </c>
      <c r="O30" s="25">
        <f>21326000</f>
        <v>21326000</v>
      </c>
    </row>
    <row r="31" spans="1:15" ht="12" outlineLevel="2">
      <c r="A31" s="60" t="s">
        <v>28</v>
      </c>
      <c r="B31" s="18" t="s">
        <v>2</v>
      </c>
      <c r="C31" s="67" t="s">
        <v>29</v>
      </c>
      <c r="D31" s="41">
        <v>0</v>
      </c>
      <c r="E31" s="39">
        <f>0</f>
        <v>0</v>
      </c>
      <c r="F31" s="39">
        <f>0</f>
        <v>0</v>
      </c>
      <c r="G31" s="39">
        <f>0</f>
        <v>0</v>
      </c>
      <c r="H31" s="39">
        <f>0</f>
        <v>0</v>
      </c>
      <c r="I31" s="39">
        <f>0</f>
        <v>0</v>
      </c>
      <c r="J31" s="39">
        <f>0</f>
        <v>0</v>
      </c>
      <c r="K31" s="39">
        <f>0</f>
        <v>0</v>
      </c>
      <c r="L31" s="39">
        <f>0</f>
        <v>0</v>
      </c>
      <c r="M31" s="39">
        <f>0</f>
        <v>0</v>
      </c>
      <c r="N31" s="39">
        <f>0</f>
        <v>0</v>
      </c>
      <c r="O31" s="39">
        <f>0</f>
        <v>0</v>
      </c>
    </row>
    <row r="32" spans="1:15" ht="12" outlineLevel="3">
      <c r="A32" s="66"/>
      <c r="B32" s="20" t="s">
        <v>4</v>
      </c>
      <c r="C32" s="68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5" ht="42.75" customHeight="1" outlineLevel="3">
      <c r="A33" s="60" t="s">
        <v>30</v>
      </c>
      <c r="B33" s="18" t="s">
        <v>2</v>
      </c>
      <c r="C33" s="76" t="s">
        <v>31</v>
      </c>
      <c r="D33" s="41">
        <v>0</v>
      </c>
      <c r="E33" s="39">
        <f>0</f>
        <v>0</v>
      </c>
      <c r="F33" s="39">
        <f>0</f>
        <v>0</v>
      </c>
      <c r="G33" s="39">
        <f>0</f>
        <v>0</v>
      </c>
      <c r="H33" s="39">
        <f>0</f>
        <v>0</v>
      </c>
      <c r="I33" s="39">
        <f>0</f>
        <v>0</v>
      </c>
      <c r="J33" s="39">
        <f>0</f>
        <v>0</v>
      </c>
      <c r="K33" s="39">
        <f>0</f>
        <v>0</v>
      </c>
      <c r="L33" s="39">
        <f>0</f>
        <v>0</v>
      </c>
      <c r="M33" s="39">
        <f>0</f>
        <v>0</v>
      </c>
      <c r="N33" s="39">
        <f>0</f>
        <v>0</v>
      </c>
      <c r="O33" s="39">
        <f>0</f>
        <v>0</v>
      </c>
    </row>
    <row r="34" spans="1:15" ht="46.5" customHeight="1" outlineLevel="3">
      <c r="A34" s="66"/>
      <c r="B34" s="20" t="s">
        <v>4</v>
      </c>
      <c r="C34" s="68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29.25" customHeight="1" outlineLevel="3">
      <c r="A35" s="60" t="s">
        <v>32</v>
      </c>
      <c r="B35" s="18" t="s">
        <v>2</v>
      </c>
      <c r="C35" s="67" t="s">
        <v>33</v>
      </c>
      <c r="D35" s="41">
        <v>0</v>
      </c>
      <c r="E35" s="39">
        <f>0</f>
        <v>0</v>
      </c>
      <c r="F35" s="39">
        <f>0</f>
        <v>0</v>
      </c>
      <c r="G35" s="39">
        <f>0</f>
        <v>0</v>
      </c>
      <c r="H35" s="39">
        <f>0</f>
        <v>0</v>
      </c>
      <c r="I35" s="39">
        <f>0</f>
        <v>0</v>
      </c>
      <c r="J35" s="39">
        <f>0</f>
        <v>0</v>
      </c>
      <c r="K35" s="39">
        <f>0</f>
        <v>0</v>
      </c>
      <c r="L35" s="39">
        <f>0</f>
        <v>0</v>
      </c>
      <c r="M35" s="39">
        <f>0</f>
        <v>0</v>
      </c>
      <c r="N35" s="39">
        <f>0</f>
        <v>0</v>
      </c>
      <c r="O35" s="39">
        <f>0</f>
        <v>0</v>
      </c>
    </row>
    <row r="36" spans="1:15" ht="36" customHeight="1" outlineLevel="3">
      <c r="A36" s="66"/>
      <c r="B36" s="20" t="s">
        <v>4</v>
      </c>
      <c r="C36" s="68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2" outlineLevel="3">
      <c r="A37" s="60" t="s">
        <v>34</v>
      </c>
      <c r="B37" s="18" t="s">
        <v>2</v>
      </c>
      <c r="C37" s="67" t="s">
        <v>35</v>
      </c>
      <c r="D37" s="2">
        <v>455000</v>
      </c>
      <c r="E37" s="42">
        <v>407000</v>
      </c>
      <c r="F37" s="42">
        <v>329000</v>
      </c>
      <c r="G37" s="25">
        <v>271000</v>
      </c>
      <c r="H37" s="25">
        <v>230000</v>
      </c>
      <c r="I37" s="25">
        <v>189000</v>
      </c>
      <c r="J37" s="25">
        <v>147000</v>
      </c>
      <c r="K37" s="25">
        <v>110000</v>
      </c>
      <c r="L37" s="25">
        <v>79000</v>
      </c>
      <c r="M37" s="25">
        <v>52000</v>
      </c>
      <c r="N37" s="25">
        <v>26000</v>
      </c>
      <c r="O37" s="25">
        <v>6000</v>
      </c>
    </row>
    <row r="38" spans="1:15" ht="12" outlineLevel="3">
      <c r="A38" s="66"/>
      <c r="B38" s="20" t="s">
        <v>4</v>
      </c>
      <c r="C38" s="69"/>
      <c r="D38" s="2">
        <f>455000</f>
        <v>455000</v>
      </c>
      <c r="E38" s="40"/>
      <c r="F38" s="40"/>
      <c r="G38" s="25">
        <f>326000</f>
        <v>326000</v>
      </c>
      <c r="H38" s="25">
        <f>285000</f>
        <v>285000</v>
      </c>
      <c r="I38" s="25">
        <f>244000</f>
        <v>244000</v>
      </c>
      <c r="J38" s="25">
        <f>202000</f>
        <v>202000</v>
      </c>
      <c r="K38" s="25">
        <f>163000</f>
        <v>163000</v>
      </c>
      <c r="L38" s="25">
        <f>130000</f>
        <v>130000</v>
      </c>
      <c r="M38" s="25">
        <f>90000</f>
        <v>90000</v>
      </c>
      <c r="N38" s="25">
        <f>51000</f>
        <v>51000</v>
      </c>
      <c r="O38" s="25">
        <f>18000</f>
        <v>18000</v>
      </c>
    </row>
    <row r="39" spans="1:15" ht="12" outlineLevel="3">
      <c r="A39" s="60" t="s">
        <v>36</v>
      </c>
      <c r="B39" s="18" t="s">
        <v>2</v>
      </c>
      <c r="C39" s="76" t="s">
        <v>37</v>
      </c>
      <c r="D39" s="2">
        <v>455000</v>
      </c>
      <c r="E39" s="43">
        <v>407000</v>
      </c>
      <c r="F39" s="43">
        <v>329000</v>
      </c>
      <c r="G39" s="22">
        <v>271000</v>
      </c>
      <c r="H39" s="22">
        <v>230000</v>
      </c>
      <c r="I39" s="22">
        <v>189000</v>
      </c>
      <c r="J39" s="22">
        <v>147000</v>
      </c>
      <c r="K39" s="22">
        <v>110000</v>
      </c>
      <c r="L39" s="22">
        <v>79000</v>
      </c>
      <c r="M39" s="22">
        <v>52000</v>
      </c>
      <c r="N39" s="22">
        <v>26000</v>
      </c>
      <c r="O39" s="22">
        <v>6000</v>
      </c>
    </row>
    <row r="40" spans="1:15" ht="12" outlineLevel="3">
      <c r="A40" s="66"/>
      <c r="B40" s="20" t="s">
        <v>4</v>
      </c>
      <c r="C40" s="68"/>
      <c r="D40" s="2">
        <f>455000</f>
        <v>455000</v>
      </c>
      <c r="E40" s="44"/>
      <c r="F40" s="44"/>
      <c r="G40" s="22">
        <f>326000</f>
        <v>326000</v>
      </c>
      <c r="H40" s="22">
        <f>285000</f>
        <v>285000</v>
      </c>
      <c r="I40" s="22">
        <f>244000</f>
        <v>244000</v>
      </c>
      <c r="J40" s="22">
        <f>202000</f>
        <v>202000</v>
      </c>
      <c r="K40" s="22">
        <f>163000</f>
        <v>163000</v>
      </c>
      <c r="L40" s="22">
        <f>130000</f>
        <v>130000</v>
      </c>
      <c r="M40" s="22">
        <f>90000</f>
        <v>90000</v>
      </c>
      <c r="N40" s="22">
        <f>51000</f>
        <v>51000</v>
      </c>
      <c r="O40" s="22">
        <f>18000</f>
        <v>18000</v>
      </c>
    </row>
    <row r="41" spans="1:15" ht="19.5" customHeight="1" outlineLevel="3">
      <c r="A41" s="60" t="s">
        <v>38</v>
      </c>
      <c r="B41" s="18" t="s">
        <v>2</v>
      </c>
      <c r="C41" s="62" t="s">
        <v>39</v>
      </c>
      <c r="D41" s="2">
        <v>1204570</v>
      </c>
      <c r="E41" s="25">
        <v>2608010</v>
      </c>
      <c r="F41" s="25">
        <v>657865</v>
      </c>
      <c r="G41" s="42">
        <v>583865</v>
      </c>
      <c r="H41" s="42">
        <v>854865</v>
      </c>
      <c r="I41" s="42">
        <v>1150485</v>
      </c>
      <c r="J41" s="42">
        <v>1477449</v>
      </c>
      <c r="K41" s="25">
        <v>1883329</v>
      </c>
      <c r="L41" s="25">
        <v>2187449</v>
      </c>
      <c r="M41" s="25">
        <v>2481449</v>
      </c>
      <c r="N41" s="25">
        <v>2825849</v>
      </c>
      <c r="O41" s="25">
        <v>3334950</v>
      </c>
    </row>
    <row r="42" spans="1:15" ht="19.5" customHeight="1" outlineLevel="2">
      <c r="A42" s="66"/>
      <c r="B42" s="20" t="s">
        <v>4</v>
      </c>
      <c r="C42" s="68"/>
      <c r="D42" s="2">
        <f>2561060</f>
        <v>2561060</v>
      </c>
      <c r="E42" s="25">
        <f>1208010</f>
        <v>1208010</v>
      </c>
      <c r="F42" s="25">
        <f>1750990</f>
        <v>1750990</v>
      </c>
      <c r="G42" s="40"/>
      <c r="H42" s="40"/>
      <c r="I42" s="40"/>
      <c r="J42" s="40"/>
      <c r="K42" s="25">
        <f>1818449</f>
        <v>1818449</v>
      </c>
      <c r="L42" s="25">
        <f>1972149</f>
        <v>1972149</v>
      </c>
      <c r="M42" s="25">
        <f>2266149</f>
        <v>2266149</v>
      </c>
      <c r="N42" s="25">
        <f>2610549</f>
        <v>2610549</v>
      </c>
      <c r="O42" s="25">
        <f>3119650</f>
        <v>3119650</v>
      </c>
    </row>
    <row r="43" spans="1:15" ht="12" outlineLevel="2">
      <c r="A43" s="73">
        <v>3</v>
      </c>
      <c r="B43" s="18" t="s">
        <v>2</v>
      </c>
      <c r="C43" s="74" t="s">
        <v>40</v>
      </c>
      <c r="D43" s="2">
        <v>1335135</v>
      </c>
      <c r="E43" s="22">
        <v>34990</v>
      </c>
      <c r="F43" s="22">
        <v>1300160</v>
      </c>
      <c r="G43" s="43">
        <v>915135</v>
      </c>
      <c r="H43" s="43">
        <v>915135</v>
      </c>
      <c r="I43" s="43">
        <v>865515</v>
      </c>
      <c r="J43" s="43">
        <v>775551</v>
      </c>
      <c r="K43" s="22">
        <v>516671</v>
      </c>
      <c r="L43" s="22">
        <v>501551</v>
      </c>
      <c r="M43" s="22">
        <v>501551</v>
      </c>
      <c r="N43" s="22">
        <v>454151</v>
      </c>
      <c r="O43" s="22">
        <v>239050</v>
      </c>
    </row>
    <row r="44" spans="1:15" ht="12" outlineLevel="1">
      <c r="A44" s="66"/>
      <c r="B44" s="20" t="s">
        <v>4</v>
      </c>
      <c r="C44" s="71"/>
      <c r="D44" s="1">
        <f>338258</f>
        <v>338258</v>
      </c>
      <c r="E44" s="21">
        <f>35035</f>
        <v>35035</v>
      </c>
      <c r="F44" s="21">
        <f>374035</f>
        <v>374035</v>
      </c>
      <c r="G44" s="44"/>
      <c r="H44" s="44"/>
      <c r="I44" s="44"/>
      <c r="J44" s="44"/>
      <c r="K44" s="21">
        <f>581551</f>
        <v>581551</v>
      </c>
      <c r="L44" s="21">
        <f>716851</f>
        <v>716851</v>
      </c>
      <c r="M44" s="21">
        <f>716851</f>
        <v>716851</v>
      </c>
      <c r="N44" s="21">
        <f>669451</f>
        <v>669451</v>
      </c>
      <c r="O44" s="21">
        <f>454350</f>
        <v>454350</v>
      </c>
    </row>
    <row r="45" spans="1:15" ht="12" outlineLevel="1">
      <c r="A45" s="73">
        <v>4</v>
      </c>
      <c r="B45" s="18" t="s">
        <v>2</v>
      </c>
      <c r="C45" s="74" t="s">
        <v>41</v>
      </c>
      <c r="D45" s="1">
        <v>262990</v>
      </c>
      <c r="E45" s="26">
        <v>800145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</row>
    <row r="46" spans="1:15" ht="12" outlineLevel="1">
      <c r="A46" s="66"/>
      <c r="B46" s="20" t="s">
        <v>4</v>
      </c>
      <c r="C46" s="71"/>
      <c r="D46" s="1">
        <f>496877</f>
        <v>496877</v>
      </c>
      <c r="E46" s="26">
        <f>800100</f>
        <v>800100</v>
      </c>
      <c r="F46" s="26">
        <f>501100</f>
        <v>501100</v>
      </c>
      <c r="G46" s="26">
        <f>0</f>
        <v>0</v>
      </c>
      <c r="H46" s="26">
        <f>0</f>
        <v>0</v>
      </c>
      <c r="I46" s="26">
        <f>0</f>
        <v>0</v>
      </c>
      <c r="J46" s="26">
        <f>0</f>
        <v>0</v>
      </c>
      <c r="K46" s="26">
        <f>0</f>
        <v>0</v>
      </c>
      <c r="L46" s="26">
        <f>0</f>
        <v>0</v>
      </c>
      <c r="M46" s="26">
        <f>0</f>
        <v>0</v>
      </c>
      <c r="N46" s="26">
        <f>0</f>
        <v>0</v>
      </c>
      <c r="O46" s="26">
        <f>0</f>
        <v>0</v>
      </c>
    </row>
    <row r="47" spans="1:15" ht="12" outlineLevel="1">
      <c r="A47" s="60" t="s">
        <v>42</v>
      </c>
      <c r="B47" s="18" t="s">
        <v>2</v>
      </c>
      <c r="C47" s="70" t="s">
        <v>43</v>
      </c>
      <c r="D47" s="41">
        <v>0</v>
      </c>
      <c r="E47" s="39">
        <f>0</f>
        <v>0</v>
      </c>
      <c r="F47" s="39">
        <f>0</f>
        <v>0</v>
      </c>
      <c r="G47" s="39">
        <f>0</f>
        <v>0</v>
      </c>
      <c r="H47" s="39">
        <f>0</f>
        <v>0</v>
      </c>
      <c r="I47" s="39">
        <f>0</f>
        <v>0</v>
      </c>
      <c r="J47" s="39">
        <f>0</f>
        <v>0</v>
      </c>
      <c r="K47" s="39">
        <f>0</f>
        <v>0</v>
      </c>
      <c r="L47" s="39">
        <f>0</f>
        <v>0</v>
      </c>
      <c r="M47" s="39">
        <f>0</f>
        <v>0</v>
      </c>
      <c r="N47" s="39">
        <f>0</f>
        <v>0</v>
      </c>
      <c r="O47" s="39">
        <f>0</f>
        <v>0</v>
      </c>
    </row>
    <row r="48" spans="1:15" ht="12" outlineLevel="2">
      <c r="A48" s="66"/>
      <c r="B48" s="20" t="s">
        <v>4</v>
      </c>
      <c r="C48" s="7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ht="12" outlineLevel="2">
      <c r="A49" s="60" t="s">
        <v>44</v>
      </c>
      <c r="B49" s="18" t="s">
        <v>2</v>
      </c>
      <c r="C49" s="67" t="s">
        <v>45</v>
      </c>
      <c r="D49" s="41">
        <v>0</v>
      </c>
      <c r="E49" s="39">
        <f>0</f>
        <v>0</v>
      </c>
      <c r="F49" s="39">
        <f>0</f>
        <v>0</v>
      </c>
      <c r="G49" s="39">
        <f>0</f>
        <v>0</v>
      </c>
      <c r="H49" s="39">
        <f>0</f>
        <v>0</v>
      </c>
      <c r="I49" s="39">
        <f>0</f>
        <v>0</v>
      </c>
      <c r="J49" s="39">
        <f>0</f>
        <v>0</v>
      </c>
      <c r="K49" s="39">
        <f>0</f>
        <v>0</v>
      </c>
      <c r="L49" s="39">
        <f>0</f>
        <v>0</v>
      </c>
      <c r="M49" s="39">
        <f>0</f>
        <v>0</v>
      </c>
      <c r="N49" s="39">
        <f>0</f>
        <v>0</v>
      </c>
      <c r="O49" s="39">
        <f>0</f>
        <v>0</v>
      </c>
    </row>
    <row r="50" spans="1:15" ht="12" outlineLevel="3">
      <c r="A50" s="66"/>
      <c r="B50" s="20" t="s">
        <v>4</v>
      </c>
      <c r="C50" s="68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12" outlineLevel="3">
      <c r="A51" s="60" t="s">
        <v>46</v>
      </c>
      <c r="B51" s="18" t="s">
        <v>2</v>
      </c>
      <c r="C51" s="62" t="s">
        <v>47</v>
      </c>
      <c r="D51" s="2">
        <f>0</f>
        <v>0</v>
      </c>
      <c r="E51" s="25">
        <f>0</f>
        <v>0</v>
      </c>
      <c r="F51" s="25">
        <f>0</f>
        <v>0</v>
      </c>
      <c r="G51" s="25">
        <f>0</f>
        <v>0</v>
      </c>
      <c r="H51" s="25">
        <f>0</f>
        <v>0</v>
      </c>
      <c r="I51" s="25">
        <f>0</f>
        <v>0</v>
      </c>
      <c r="J51" s="25">
        <f>0</f>
        <v>0</v>
      </c>
      <c r="K51" s="25">
        <f>0</f>
        <v>0</v>
      </c>
      <c r="L51" s="25">
        <f>0</f>
        <v>0</v>
      </c>
      <c r="M51" s="25">
        <f>0</f>
        <v>0</v>
      </c>
      <c r="N51" s="25">
        <f>0</f>
        <v>0</v>
      </c>
      <c r="O51" s="25">
        <f>0</f>
        <v>0</v>
      </c>
    </row>
    <row r="52" spans="1:15" ht="12" outlineLevel="2">
      <c r="A52" s="66"/>
      <c r="B52" s="20" t="s">
        <v>4</v>
      </c>
      <c r="C52" s="68"/>
      <c r="D52" s="2">
        <f>315881</f>
        <v>315881</v>
      </c>
      <c r="E52" s="25">
        <f>0</f>
        <v>0</v>
      </c>
      <c r="F52" s="25">
        <f>0</f>
        <v>0</v>
      </c>
      <c r="G52" s="25">
        <f>0</f>
        <v>0</v>
      </c>
      <c r="H52" s="25">
        <f>0</f>
        <v>0</v>
      </c>
      <c r="I52" s="25">
        <f>0</f>
        <v>0</v>
      </c>
      <c r="J52" s="25">
        <f>0</f>
        <v>0</v>
      </c>
      <c r="K52" s="25">
        <f>0</f>
        <v>0</v>
      </c>
      <c r="L52" s="25">
        <f>0</f>
        <v>0</v>
      </c>
      <c r="M52" s="25">
        <f>0</f>
        <v>0</v>
      </c>
      <c r="N52" s="25">
        <f>0</f>
        <v>0</v>
      </c>
      <c r="O52" s="25">
        <f>0</f>
        <v>0</v>
      </c>
    </row>
    <row r="53" spans="1:15" ht="12" outlineLevel="2">
      <c r="A53" s="60" t="s">
        <v>48</v>
      </c>
      <c r="B53" s="18" t="s">
        <v>2</v>
      </c>
      <c r="C53" s="67" t="s">
        <v>45</v>
      </c>
      <c r="D53" s="41">
        <v>0</v>
      </c>
      <c r="E53" s="39">
        <f>0</f>
        <v>0</v>
      </c>
      <c r="F53" s="39">
        <f>0</f>
        <v>0</v>
      </c>
      <c r="G53" s="39">
        <f>0</f>
        <v>0</v>
      </c>
      <c r="H53" s="39">
        <f>0</f>
        <v>0</v>
      </c>
      <c r="I53" s="39">
        <f>0</f>
        <v>0</v>
      </c>
      <c r="J53" s="39">
        <f>0</f>
        <v>0</v>
      </c>
      <c r="K53" s="39">
        <f>0</f>
        <v>0</v>
      </c>
      <c r="L53" s="39">
        <f>0</f>
        <v>0</v>
      </c>
      <c r="M53" s="39">
        <f>0</f>
        <v>0</v>
      </c>
      <c r="N53" s="39">
        <f>0</f>
        <v>0</v>
      </c>
      <c r="O53" s="39">
        <f>0</f>
        <v>0</v>
      </c>
    </row>
    <row r="54" spans="1:15" ht="12" outlineLevel="3">
      <c r="A54" s="66"/>
      <c r="B54" s="20" t="s">
        <v>4</v>
      </c>
      <c r="C54" s="68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2" outlineLevel="3">
      <c r="A55" s="60" t="s">
        <v>49</v>
      </c>
      <c r="B55" s="18" t="s">
        <v>2</v>
      </c>
      <c r="C55" s="62" t="s">
        <v>50</v>
      </c>
      <c r="D55" s="2">
        <f>0</f>
        <v>0</v>
      </c>
      <c r="E55" s="25">
        <v>800145</v>
      </c>
      <c r="F55" s="25">
        <f>0</f>
        <v>0</v>
      </c>
      <c r="G55" s="25">
        <f>0</f>
        <v>0</v>
      </c>
      <c r="H55" s="25">
        <f>0</f>
        <v>0</v>
      </c>
      <c r="I55" s="25">
        <f>0</f>
        <v>0</v>
      </c>
      <c r="J55" s="25">
        <f>0</f>
        <v>0</v>
      </c>
      <c r="K55" s="25">
        <f>0</f>
        <v>0</v>
      </c>
      <c r="L55" s="25">
        <f>0</f>
        <v>0</v>
      </c>
      <c r="M55" s="25">
        <f>0</f>
        <v>0</v>
      </c>
      <c r="N55" s="25">
        <f>0</f>
        <v>0</v>
      </c>
      <c r="O55" s="25">
        <f>0</f>
        <v>0</v>
      </c>
    </row>
    <row r="56" spans="1:15" ht="12" outlineLevel="2">
      <c r="A56" s="66"/>
      <c r="B56" s="20" t="s">
        <v>4</v>
      </c>
      <c r="C56" s="68"/>
      <c r="D56" s="2">
        <f>0</f>
        <v>0</v>
      </c>
      <c r="E56" s="25">
        <f>800100</f>
        <v>800100</v>
      </c>
      <c r="F56" s="25">
        <f>501100</f>
        <v>501100</v>
      </c>
      <c r="G56" s="25">
        <f>0</f>
        <v>0</v>
      </c>
      <c r="H56" s="25">
        <f>0</f>
        <v>0</v>
      </c>
      <c r="I56" s="25">
        <f>0</f>
        <v>0</v>
      </c>
      <c r="J56" s="25">
        <f>0</f>
        <v>0</v>
      </c>
      <c r="K56" s="25">
        <f>0</f>
        <v>0</v>
      </c>
      <c r="L56" s="25">
        <f>0</f>
        <v>0</v>
      </c>
      <c r="M56" s="25">
        <f>0</f>
        <v>0</v>
      </c>
      <c r="N56" s="25">
        <f>0</f>
        <v>0</v>
      </c>
      <c r="O56" s="25">
        <f>0</f>
        <v>0</v>
      </c>
    </row>
    <row r="57" spans="1:15" ht="12" outlineLevel="2">
      <c r="A57" s="60" t="s">
        <v>51</v>
      </c>
      <c r="B57" s="18" t="s">
        <v>2</v>
      </c>
      <c r="C57" s="67" t="s">
        <v>45</v>
      </c>
      <c r="D57" s="41">
        <v>0</v>
      </c>
      <c r="E57" s="39">
        <f>0</f>
        <v>0</v>
      </c>
      <c r="F57" s="39">
        <f>0</f>
        <v>0</v>
      </c>
      <c r="G57" s="39">
        <f>0</f>
        <v>0</v>
      </c>
      <c r="H57" s="39">
        <f>0</f>
        <v>0</v>
      </c>
      <c r="I57" s="39">
        <f>0</f>
        <v>0</v>
      </c>
      <c r="J57" s="39">
        <f>0</f>
        <v>0</v>
      </c>
      <c r="K57" s="39">
        <f>0</f>
        <v>0</v>
      </c>
      <c r="L57" s="39">
        <f>0</f>
        <v>0</v>
      </c>
      <c r="M57" s="39">
        <f>0</f>
        <v>0</v>
      </c>
      <c r="N57" s="39">
        <f>0</f>
        <v>0</v>
      </c>
      <c r="O57" s="39">
        <f>0</f>
        <v>0</v>
      </c>
    </row>
    <row r="58" spans="1:15" ht="12" outlineLevel="3">
      <c r="A58" s="66"/>
      <c r="B58" s="20" t="s">
        <v>4</v>
      </c>
      <c r="C58" s="68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2" outlineLevel="3">
      <c r="A59" s="60" t="s">
        <v>52</v>
      </c>
      <c r="B59" s="18" t="s">
        <v>2</v>
      </c>
      <c r="C59" s="62" t="s">
        <v>53</v>
      </c>
      <c r="D59" s="2">
        <v>262990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2" outlineLevel="2">
      <c r="A60" s="66"/>
      <c r="B60" s="20" t="s">
        <v>4</v>
      </c>
      <c r="C60" s="68"/>
      <c r="D60" s="2">
        <f>180996</f>
        <v>180996</v>
      </c>
      <c r="E60" s="25">
        <f>0</f>
        <v>0</v>
      </c>
      <c r="F60" s="25">
        <f>0</f>
        <v>0</v>
      </c>
      <c r="G60" s="25">
        <f>0</f>
        <v>0</v>
      </c>
      <c r="H60" s="25">
        <f>0</f>
        <v>0</v>
      </c>
      <c r="I60" s="25">
        <f>0</f>
        <v>0</v>
      </c>
      <c r="J60" s="25">
        <f>0</f>
        <v>0</v>
      </c>
      <c r="K60" s="25">
        <f>0</f>
        <v>0</v>
      </c>
      <c r="L60" s="25">
        <f>0</f>
        <v>0</v>
      </c>
      <c r="M60" s="25">
        <f>0</f>
        <v>0</v>
      </c>
      <c r="N60" s="25">
        <f>0</f>
        <v>0</v>
      </c>
      <c r="O60" s="25">
        <f>0</f>
        <v>0</v>
      </c>
    </row>
    <row r="61" spans="1:15" ht="12" outlineLevel="2">
      <c r="A61" s="60" t="s">
        <v>54</v>
      </c>
      <c r="B61" s="18" t="s">
        <v>2</v>
      </c>
      <c r="C61" s="67" t="s">
        <v>45</v>
      </c>
      <c r="D61" s="41">
        <v>0</v>
      </c>
      <c r="E61" s="39">
        <f>0</f>
        <v>0</v>
      </c>
      <c r="F61" s="39">
        <f>0</f>
        <v>0</v>
      </c>
      <c r="G61" s="39">
        <f>0</f>
        <v>0</v>
      </c>
      <c r="H61" s="39">
        <f>0</f>
        <v>0</v>
      </c>
      <c r="I61" s="39">
        <f>0</f>
        <v>0</v>
      </c>
      <c r="J61" s="39">
        <f>0</f>
        <v>0</v>
      </c>
      <c r="K61" s="39">
        <f>0</f>
        <v>0</v>
      </c>
      <c r="L61" s="39">
        <f>0</f>
        <v>0</v>
      </c>
      <c r="M61" s="39">
        <f>0</f>
        <v>0</v>
      </c>
      <c r="N61" s="39">
        <f>0</f>
        <v>0</v>
      </c>
      <c r="O61" s="39">
        <f>0</f>
        <v>0</v>
      </c>
    </row>
    <row r="62" spans="1:15" ht="12" outlineLevel="3">
      <c r="A62" s="66"/>
      <c r="B62" s="20" t="s">
        <v>4</v>
      </c>
      <c r="C62" s="68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12" outlineLevel="3">
      <c r="A63" s="73">
        <v>5</v>
      </c>
      <c r="B63" s="18" t="s">
        <v>2</v>
      </c>
      <c r="C63" s="74" t="s">
        <v>55</v>
      </c>
      <c r="D63" s="1">
        <v>1598125</v>
      </c>
      <c r="E63" s="53">
        <v>835135</v>
      </c>
      <c r="F63" s="26">
        <v>1300160</v>
      </c>
      <c r="G63" s="53">
        <v>915135</v>
      </c>
      <c r="H63" s="53">
        <v>915135</v>
      </c>
      <c r="I63" s="53">
        <v>865515</v>
      </c>
      <c r="J63" s="53">
        <v>775551</v>
      </c>
      <c r="K63" s="26">
        <v>516671</v>
      </c>
      <c r="L63" s="26">
        <v>501551</v>
      </c>
      <c r="M63" s="26">
        <v>501551</v>
      </c>
      <c r="N63" s="26">
        <v>454151</v>
      </c>
      <c r="O63" s="26">
        <v>239050</v>
      </c>
    </row>
    <row r="64" spans="1:15" ht="12" outlineLevel="1">
      <c r="A64" s="66"/>
      <c r="B64" s="20" t="s">
        <v>4</v>
      </c>
      <c r="C64" s="71"/>
      <c r="D64" s="1">
        <f>835135</f>
        <v>835135</v>
      </c>
      <c r="E64" s="40"/>
      <c r="F64" s="26">
        <f>875135</f>
        <v>875135</v>
      </c>
      <c r="G64" s="40"/>
      <c r="H64" s="40"/>
      <c r="I64" s="40"/>
      <c r="J64" s="40"/>
      <c r="K64" s="26">
        <f>581551</f>
        <v>581551</v>
      </c>
      <c r="L64" s="26">
        <f>716851</f>
        <v>716851</v>
      </c>
      <c r="M64" s="26">
        <f>716851</f>
        <v>716851</v>
      </c>
      <c r="N64" s="26">
        <f>669451</f>
        <v>669451</v>
      </c>
      <c r="O64" s="26">
        <f>454350</f>
        <v>454350</v>
      </c>
    </row>
    <row r="65" spans="1:15" ht="12" outlineLevel="1">
      <c r="A65" s="60" t="s">
        <v>56</v>
      </c>
      <c r="B65" s="18" t="s">
        <v>2</v>
      </c>
      <c r="C65" s="70" t="s">
        <v>57</v>
      </c>
      <c r="D65" s="2">
        <v>1598125</v>
      </c>
      <c r="E65" s="43">
        <f>835135</f>
        <v>835135</v>
      </c>
      <c r="F65" s="22">
        <v>1300160</v>
      </c>
      <c r="G65" s="43">
        <f>915135</f>
        <v>915135</v>
      </c>
      <c r="H65" s="43">
        <f>915135</f>
        <v>915135</v>
      </c>
      <c r="I65" s="43">
        <f>865515</f>
        <v>865515</v>
      </c>
      <c r="J65" s="43">
        <f>775551</f>
        <v>775551</v>
      </c>
      <c r="K65" s="22">
        <v>516671</v>
      </c>
      <c r="L65" s="22">
        <v>501551</v>
      </c>
      <c r="M65" s="22">
        <v>501551</v>
      </c>
      <c r="N65" s="22">
        <v>454151</v>
      </c>
      <c r="O65" s="22">
        <v>239050</v>
      </c>
    </row>
    <row r="66" spans="1:15" ht="12" outlineLevel="2">
      <c r="A66" s="66"/>
      <c r="B66" s="20" t="s">
        <v>4</v>
      </c>
      <c r="C66" s="71"/>
      <c r="D66" s="2">
        <f>835135</f>
        <v>835135</v>
      </c>
      <c r="E66" s="44"/>
      <c r="F66" s="22">
        <f>875135</f>
        <v>875135</v>
      </c>
      <c r="G66" s="44"/>
      <c r="H66" s="44"/>
      <c r="I66" s="44"/>
      <c r="J66" s="44"/>
      <c r="K66" s="22">
        <f>581551</f>
        <v>581551</v>
      </c>
      <c r="L66" s="22">
        <f>716851</f>
        <v>716851</v>
      </c>
      <c r="M66" s="22">
        <f>716851</f>
        <v>716851</v>
      </c>
      <c r="N66" s="22">
        <f>669451</f>
        <v>669451</v>
      </c>
      <c r="O66" s="22">
        <f>454350</f>
        <v>454350</v>
      </c>
    </row>
    <row r="67" spans="1:15" ht="40.5" customHeight="1" outlineLevel="2">
      <c r="A67" s="60" t="s">
        <v>58</v>
      </c>
      <c r="B67" s="18" t="s">
        <v>2</v>
      </c>
      <c r="C67" s="70" t="s">
        <v>59</v>
      </c>
      <c r="D67" s="2">
        <v>500000</v>
      </c>
      <c r="E67" s="29">
        <v>0</v>
      </c>
      <c r="F67" s="22">
        <v>425025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</row>
    <row r="68" spans="1:15" ht="58.5" customHeight="1" outlineLevel="3">
      <c r="A68" s="66"/>
      <c r="B68" s="20" t="s">
        <v>4</v>
      </c>
      <c r="C68" s="71"/>
      <c r="D68" s="2">
        <f>0</f>
        <v>0</v>
      </c>
      <c r="E68" s="29">
        <f>0</f>
        <v>0</v>
      </c>
      <c r="F68" s="22">
        <f>0</f>
        <v>0</v>
      </c>
      <c r="G68" s="29">
        <f>0</f>
        <v>0</v>
      </c>
      <c r="H68" s="29">
        <f>0</f>
        <v>0</v>
      </c>
      <c r="I68" s="29">
        <f>0</f>
        <v>0</v>
      </c>
      <c r="J68" s="29">
        <f>0</f>
        <v>0</v>
      </c>
      <c r="K68" s="29">
        <f>0</f>
        <v>0</v>
      </c>
      <c r="L68" s="29">
        <f>0</f>
        <v>0</v>
      </c>
      <c r="M68" s="29">
        <f>0</f>
        <v>0</v>
      </c>
      <c r="N68" s="29">
        <f>0</f>
        <v>0</v>
      </c>
      <c r="O68" s="29">
        <f>0</f>
        <v>0</v>
      </c>
    </row>
    <row r="69" spans="1:15" ht="18.75" customHeight="1" outlineLevel="3">
      <c r="A69" s="60" t="s">
        <v>60</v>
      </c>
      <c r="B69" s="18" t="s">
        <v>2</v>
      </c>
      <c r="C69" s="70" t="s">
        <v>61</v>
      </c>
      <c r="D69" s="2">
        <v>500000</v>
      </c>
      <c r="E69" s="29">
        <v>0</v>
      </c>
      <c r="F69" s="22">
        <v>425025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</row>
    <row r="70" spans="1:15" ht="19.5" customHeight="1" outlineLevel="3">
      <c r="A70" s="66"/>
      <c r="B70" s="20" t="s">
        <v>4</v>
      </c>
      <c r="C70" s="71"/>
      <c r="D70" s="2">
        <f>0</f>
        <v>0</v>
      </c>
      <c r="E70" s="29">
        <f>0</f>
        <v>0</v>
      </c>
      <c r="F70" s="29">
        <f>0</f>
        <v>0</v>
      </c>
      <c r="G70" s="29">
        <f>0</f>
        <v>0</v>
      </c>
      <c r="H70" s="29">
        <f>0</f>
        <v>0</v>
      </c>
      <c r="I70" s="29">
        <f>0</f>
        <v>0</v>
      </c>
      <c r="J70" s="29">
        <f>0</f>
        <v>0</v>
      </c>
      <c r="K70" s="29">
        <f>0</f>
        <v>0</v>
      </c>
      <c r="L70" s="29">
        <f>0</f>
        <v>0</v>
      </c>
      <c r="M70" s="29">
        <f>0</f>
        <v>0</v>
      </c>
      <c r="N70" s="29">
        <f>0</f>
        <v>0</v>
      </c>
      <c r="O70" s="29">
        <f>0</f>
        <v>0</v>
      </c>
    </row>
    <row r="71" spans="1:15" ht="12" outlineLevel="3">
      <c r="A71" s="60" t="s">
        <v>62</v>
      </c>
      <c r="B71" s="18" t="s">
        <v>2</v>
      </c>
      <c r="C71" s="70" t="s">
        <v>63</v>
      </c>
      <c r="D71" s="41">
        <v>0</v>
      </c>
      <c r="E71" s="39">
        <f>0</f>
        <v>0</v>
      </c>
      <c r="F71" s="39">
        <f>0</f>
        <v>0</v>
      </c>
      <c r="G71" s="39">
        <f>0</f>
        <v>0</v>
      </c>
      <c r="H71" s="39">
        <f>0</f>
        <v>0</v>
      </c>
      <c r="I71" s="39">
        <f>0</f>
        <v>0</v>
      </c>
      <c r="J71" s="39">
        <f>0</f>
        <v>0</v>
      </c>
      <c r="K71" s="39">
        <f>0</f>
        <v>0</v>
      </c>
      <c r="L71" s="39">
        <f>0</f>
        <v>0</v>
      </c>
      <c r="M71" s="39">
        <f>0</f>
        <v>0</v>
      </c>
      <c r="N71" s="39">
        <f>0</f>
        <v>0</v>
      </c>
      <c r="O71" s="39">
        <f>0</f>
        <v>0</v>
      </c>
    </row>
    <row r="72" spans="1:15" ht="12" outlineLevel="2">
      <c r="A72" s="66"/>
      <c r="B72" s="20" t="s">
        <v>4</v>
      </c>
      <c r="C72" s="7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2" outlineLevel="2">
      <c r="A73" s="73">
        <v>6</v>
      </c>
      <c r="B73" s="18" t="s">
        <v>2</v>
      </c>
      <c r="C73" s="74" t="s">
        <v>64</v>
      </c>
      <c r="D73" s="1">
        <v>7019460</v>
      </c>
      <c r="E73" s="26">
        <v>6984470</v>
      </c>
      <c r="F73" s="26">
        <v>5684310</v>
      </c>
      <c r="G73" s="26">
        <v>4769175</v>
      </c>
      <c r="H73" s="26">
        <v>3854040</v>
      </c>
      <c r="I73" s="26">
        <v>2988525</v>
      </c>
      <c r="J73" s="26">
        <v>2212974</v>
      </c>
      <c r="K73" s="26">
        <v>1696303</v>
      </c>
      <c r="L73" s="26">
        <v>1194752</v>
      </c>
      <c r="M73" s="26">
        <v>693201</v>
      </c>
      <c r="N73" s="26">
        <v>239050</v>
      </c>
      <c r="O73" s="26">
        <v>0</v>
      </c>
    </row>
    <row r="74" spans="1:15" ht="12" outlineLevel="1">
      <c r="A74" s="66"/>
      <c r="B74" s="20" t="s">
        <v>4</v>
      </c>
      <c r="C74" s="71"/>
      <c r="D74" s="1">
        <f>7019460</f>
        <v>7019460</v>
      </c>
      <c r="E74" s="26">
        <f>6984425</f>
        <v>6984425</v>
      </c>
      <c r="F74" s="26">
        <f>6610390</f>
        <v>6610390</v>
      </c>
      <c r="G74" s="26">
        <f>5695255</f>
        <v>5695255</v>
      </c>
      <c r="H74" s="26">
        <f>4780120</f>
        <v>4780120</v>
      </c>
      <c r="I74" s="26">
        <f>3914605</f>
        <v>3914605</v>
      </c>
      <c r="J74" s="26">
        <f>3139054</f>
        <v>3139054</v>
      </c>
      <c r="K74" s="26">
        <f>2557503</f>
        <v>2557503</v>
      </c>
      <c r="L74" s="26">
        <f>1840652</f>
        <v>1840652</v>
      </c>
      <c r="M74" s="26">
        <f>1123801</f>
        <v>1123801</v>
      </c>
      <c r="N74" s="26">
        <f>454350</f>
        <v>454350</v>
      </c>
      <c r="O74" s="26">
        <f>0</f>
        <v>0</v>
      </c>
    </row>
    <row r="75" spans="1:15" ht="30.75" customHeight="1" outlineLevel="1">
      <c r="A75" s="60" t="s">
        <v>65</v>
      </c>
      <c r="B75" s="18" t="s">
        <v>2</v>
      </c>
      <c r="C75" s="70" t="s">
        <v>66</v>
      </c>
      <c r="D75" s="41">
        <v>0</v>
      </c>
      <c r="E75" s="39">
        <f>0</f>
        <v>0</v>
      </c>
      <c r="F75" s="39">
        <f>0</f>
        <v>0</v>
      </c>
      <c r="G75" s="39">
        <f>0</f>
        <v>0</v>
      </c>
      <c r="H75" s="39">
        <f>0</f>
        <v>0</v>
      </c>
      <c r="I75" s="39">
        <f>0</f>
        <v>0</v>
      </c>
      <c r="J75" s="39">
        <f>0</f>
        <v>0</v>
      </c>
      <c r="K75" s="39">
        <f>0</f>
        <v>0</v>
      </c>
      <c r="L75" s="39">
        <f>0</f>
        <v>0</v>
      </c>
      <c r="M75" s="39">
        <f>0</f>
        <v>0</v>
      </c>
      <c r="N75" s="39">
        <f>0</f>
        <v>0</v>
      </c>
      <c r="O75" s="39">
        <f>0</f>
        <v>0</v>
      </c>
    </row>
    <row r="76" spans="1:15" ht="27" customHeight="1" outlineLevel="2">
      <c r="A76" s="66"/>
      <c r="B76" s="20" t="s">
        <v>4</v>
      </c>
      <c r="C76" s="71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8" customHeight="1" outlineLevel="2">
      <c r="A77" s="60" t="s">
        <v>67</v>
      </c>
      <c r="B77" s="18" t="s">
        <v>2</v>
      </c>
      <c r="C77" s="70" t="s">
        <v>68</v>
      </c>
      <c r="D77" s="2">
        <v>0</v>
      </c>
      <c r="E77" s="25">
        <v>425025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ht="18" customHeight="1" outlineLevel="3">
      <c r="A78" s="66"/>
      <c r="B78" s="20" t="s">
        <v>4</v>
      </c>
      <c r="C78" s="71"/>
      <c r="D78" s="2">
        <f>0</f>
        <v>0</v>
      </c>
      <c r="E78" s="25">
        <f>0</f>
        <v>0</v>
      </c>
      <c r="F78" s="25">
        <f>0</f>
        <v>0</v>
      </c>
      <c r="G78" s="25">
        <f>0</f>
        <v>0</v>
      </c>
      <c r="H78" s="25">
        <f>0</f>
        <v>0</v>
      </c>
      <c r="I78" s="25">
        <f>0</f>
        <v>0</v>
      </c>
      <c r="J78" s="25">
        <f>0</f>
        <v>0</v>
      </c>
      <c r="K78" s="25">
        <f>0</f>
        <v>0</v>
      </c>
      <c r="L78" s="25">
        <f>0</f>
        <v>0</v>
      </c>
      <c r="M78" s="25">
        <f>0</f>
        <v>0</v>
      </c>
      <c r="N78" s="25">
        <f>0</f>
        <v>0</v>
      </c>
      <c r="O78" s="25">
        <f>0</f>
        <v>0</v>
      </c>
    </row>
    <row r="79" spans="1:15" ht="12" outlineLevel="3">
      <c r="A79" s="60" t="s">
        <v>69</v>
      </c>
      <c r="B79" s="18" t="s">
        <v>2</v>
      </c>
      <c r="C79" s="62" t="s">
        <v>70</v>
      </c>
      <c r="D79" s="3">
        <v>0.338</v>
      </c>
      <c r="E79" s="3">
        <v>0.329</v>
      </c>
      <c r="F79" s="3">
        <v>0.273</v>
      </c>
      <c r="G79" s="3">
        <v>0.23</v>
      </c>
      <c r="H79" s="3">
        <v>0.181</v>
      </c>
      <c r="I79" s="3">
        <v>0.137</v>
      </c>
      <c r="J79" s="3">
        <v>0.098</v>
      </c>
      <c r="K79" s="3">
        <v>0.074</v>
      </c>
      <c r="L79" s="3">
        <v>0.051</v>
      </c>
      <c r="M79" s="3">
        <v>0.029</v>
      </c>
      <c r="N79" s="3">
        <v>0.01</v>
      </c>
      <c r="O79" s="3">
        <v>0</v>
      </c>
    </row>
    <row r="80" spans="1:15" ht="12" outlineLevel="2">
      <c r="A80" s="66"/>
      <c r="B80" s="20" t="s">
        <v>4</v>
      </c>
      <c r="C80" s="68"/>
      <c r="D80" s="5">
        <f>0.3187</f>
        <v>0.3187</v>
      </c>
      <c r="E80" s="5">
        <f>0.3519</f>
        <v>0.3519</v>
      </c>
      <c r="F80" s="5">
        <f>0.3151</f>
        <v>0.3151</v>
      </c>
      <c r="G80" s="5">
        <f>0.2751</f>
        <v>0.2751</v>
      </c>
      <c r="H80" s="5">
        <f>0.2244</f>
        <v>0.2244</v>
      </c>
      <c r="I80" s="5">
        <f>0.1787</f>
        <v>0.1787</v>
      </c>
      <c r="J80" s="5">
        <f>0.1395</f>
        <v>0.1395</v>
      </c>
      <c r="K80" s="5">
        <f>0.1112</f>
        <v>0.1112</v>
      </c>
      <c r="L80" s="5">
        <f>0.0784</f>
        <v>0.0784</v>
      </c>
      <c r="M80" s="5">
        <f>0.0469</f>
        <v>0.0469</v>
      </c>
      <c r="N80" s="5">
        <f>0.0186</f>
        <v>0.0186</v>
      </c>
      <c r="O80" s="5">
        <f>0</f>
        <v>0</v>
      </c>
    </row>
    <row r="81" spans="1:15" ht="12" outlineLevel="2">
      <c r="A81" s="6"/>
      <c r="B81" s="18" t="s">
        <v>2</v>
      </c>
      <c r="C81" s="62" t="s">
        <v>71</v>
      </c>
      <c r="D81" s="5">
        <v>0.338</v>
      </c>
      <c r="E81" s="5">
        <v>0.309</v>
      </c>
      <c r="F81" s="5">
        <v>0.273</v>
      </c>
      <c r="G81" s="5">
        <v>0.23</v>
      </c>
      <c r="H81" s="5">
        <v>0.181</v>
      </c>
      <c r="I81" s="5">
        <v>0.137</v>
      </c>
      <c r="J81" s="5">
        <v>0.098</v>
      </c>
      <c r="K81" s="5">
        <v>0.074</v>
      </c>
      <c r="L81" s="5">
        <v>0.051</v>
      </c>
      <c r="M81" s="5">
        <v>0.029</v>
      </c>
      <c r="N81" s="5">
        <v>0.01</v>
      </c>
      <c r="O81" s="5">
        <v>0</v>
      </c>
    </row>
    <row r="82" spans="1:15" ht="25.5" customHeight="1" outlineLevel="2">
      <c r="A82" s="6" t="s">
        <v>72</v>
      </c>
      <c r="B82" s="20" t="s">
        <v>4</v>
      </c>
      <c r="C82" s="72"/>
      <c r="D82" s="5">
        <f>0.3187</f>
        <v>0.3187</v>
      </c>
      <c r="E82" s="5">
        <f>0.3519</f>
        <v>0.3519</v>
      </c>
      <c r="F82" s="5">
        <f>0.3151</f>
        <v>0.3151</v>
      </c>
      <c r="G82" s="5">
        <f>0.2751</f>
        <v>0.2751</v>
      </c>
      <c r="H82" s="5">
        <f>0.2244</f>
        <v>0.2244</v>
      </c>
      <c r="I82" s="5">
        <f>0.1787</f>
        <v>0.1787</v>
      </c>
      <c r="J82" s="5">
        <f>0.1395</f>
        <v>0.1395</v>
      </c>
      <c r="K82" s="5">
        <f>0.1112</f>
        <v>0.1112</v>
      </c>
      <c r="L82" s="5">
        <f>0.0784</f>
        <v>0.0784</v>
      </c>
      <c r="M82" s="5">
        <f>0.0469</f>
        <v>0.0469</v>
      </c>
      <c r="N82" s="5">
        <f>0.0186</f>
        <v>0.0186</v>
      </c>
      <c r="O82" s="5">
        <f>0</f>
        <v>0</v>
      </c>
    </row>
    <row r="83" spans="1:15" ht="23.25" customHeight="1" outlineLevel="2">
      <c r="A83" s="73">
        <v>7</v>
      </c>
      <c r="B83" s="18" t="s">
        <v>2</v>
      </c>
      <c r="C83" s="74" t="s">
        <v>73</v>
      </c>
      <c r="D83" s="41">
        <v>0</v>
      </c>
      <c r="E83" s="39">
        <f>0</f>
        <v>0</v>
      </c>
      <c r="F83" s="39">
        <f>0</f>
        <v>0</v>
      </c>
      <c r="G83" s="39">
        <f>0</f>
        <v>0</v>
      </c>
      <c r="H83" s="39">
        <f>0</f>
        <v>0</v>
      </c>
      <c r="I83" s="39">
        <f>0</f>
        <v>0</v>
      </c>
      <c r="J83" s="39">
        <f>0</f>
        <v>0</v>
      </c>
      <c r="K83" s="39">
        <f>0</f>
        <v>0</v>
      </c>
      <c r="L83" s="39">
        <f>0</f>
        <v>0</v>
      </c>
      <c r="M83" s="39">
        <f>0</f>
        <v>0</v>
      </c>
      <c r="N83" s="39">
        <f>0</f>
        <v>0</v>
      </c>
      <c r="O83" s="39">
        <f>0</f>
        <v>0</v>
      </c>
    </row>
    <row r="84" spans="1:15" ht="30" customHeight="1" outlineLevel="1">
      <c r="A84" s="66"/>
      <c r="B84" s="20" t="s">
        <v>4</v>
      </c>
      <c r="C84" s="71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12" customHeight="1" outlineLevel="1">
      <c r="A85" s="73">
        <v>8</v>
      </c>
      <c r="B85" s="18" t="s">
        <v>2</v>
      </c>
      <c r="C85" s="74" t="s">
        <v>74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4.25" customHeight="1" outlineLevel="1">
      <c r="A86" s="66"/>
      <c r="B86" s="20" t="s">
        <v>4</v>
      </c>
      <c r="C86" s="71"/>
      <c r="D86" s="7" t="s">
        <v>75</v>
      </c>
      <c r="E86" s="7" t="s">
        <v>75</v>
      </c>
      <c r="F86" s="7" t="s">
        <v>75</v>
      </c>
      <c r="G86" s="7" t="s">
        <v>75</v>
      </c>
      <c r="H86" s="7" t="s">
        <v>75</v>
      </c>
      <c r="I86" s="7" t="s">
        <v>75</v>
      </c>
      <c r="J86" s="7" t="s">
        <v>75</v>
      </c>
      <c r="K86" s="7" t="s">
        <v>75</v>
      </c>
      <c r="L86" s="7" t="s">
        <v>75</v>
      </c>
      <c r="M86" s="7" t="s">
        <v>75</v>
      </c>
      <c r="N86" s="7" t="s">
        <v>75</v>
      </c>
      <c r="O86" s="7" t="s">
        <v>75</v>
      </c>
    </row>
    <row r="87" spans="1:15" ht="12" outlineLevel="1">
      <c r="A87" s="60" t="s">
        <v>76</v>
      </c>
      <c r="B87" s="18" t="s">
        <v>2</v>
      </c>
      <c r="C87" s="70" t="s">
        <v>77</v>
      </c>
      <c r="D87" s="2">
        <v>336320</v>
      </c>
      <c r="E87" s="30">
        <v>693000</v>
      </c>
      <c r="F87" s="30">
        <v>1206025</v>
      </c>
      <c r="G87" s="49">
        <v>1499000</v>
      </c>
      <c r="H87" s="49">
        <v>1770000</v>
      </c>
      <c r="I87" s="49">
        <v>2016000</v>
      </c>
      <c r="J87" s="49">
        <v>2253000</v>
      </c>
      <c r="K87" s="49">
        <v>2400000</v>
      </c>
      <c r="L87" s="49">
        <v>2689000</v>
      </c>
      <c r="M87" s="49">
        <v>2983000</v>
      </c>
      <c r="N87" s="49">
        <v>3280000</v>
      </c>
      <c r="O87" s="49">
        <v>3574000</v>
      </c>
    </row>
    <row r="88" spans="1:15" ht="12" outlineLevel="2">
      <c r="A88" s="66"/>
      <c r="B88" s="20" t="s">
        <v>4</v>
      </c>
      <c r="C88" s="71"/>
      <c r="D88" s="2">
        <f>180585</f>
        <v>180585</v>
      </c>
      <c r="E88" s="30">
        <f>693045</f>
        <v>693045</v>
      </c>
      <c r="F88" s="30">
        <f>1246025</f>
        <v>1246025</v>
      </c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 outlineLevel="2">
      <c r="A89" s="60" t="s">
        <v>78</v>
      </c>
      <c r="B89" s="18" t="s">
        <v>2</v>
      </c>
      <c r="C89" s="62" t="s">
        <v>79</v>
      </c>
      <c r="D89" s="2">
        <v>336320</v>
      </c>
      <c r="E89" s="31">
        <v>693000</v>
      </c>
      <c r="F89" s="31">
        <v>1206025</v>
      </c>
      <c r="G89" s="51">
        <f>1499000</f>
        <v>1499000</v>
      </c>
      <c r="H89" s="51">
        <f>1770000</f>
        <v>1770000</v>
      </c>
      <c r="I89" s="49">
        <v>2016000</v>
      </c>
      <c r="J89" s="49">
        <v>2253000</v>
      </c>
      <c r="K89" s="49">
        <v>2400000</v>
      </c>
      <c r="L89" s="49">
        <v>2689000</v>
      </c>
      <c r="M89" s="49">
        <v>2983000</v>
      </c>
      <c r="N89" s="49">
        <v>3280000</v>
      </c>
      <c r="O89" s="49">
        <v>3574000</v>
      </c>
    </row>
    <row r="90" spans="1:15" ht="12" outlineLevel="2">
      <c r="A90" s="66"/>
      <c r="B90" s="20" t="s">
        <v>4</v>
      </c>
      <c r="C90" s="72"/>
      <c r="D90" s="2">
        <f>496466</f>
        <v>496466</v>
      </c>
      <c r="E90" s="22">
        <f>693045</f>
        <v>693045</v>
      </c>
      <c r="F90" s="22">
        <f>1246025</f>
        <v>1246025</v>
      </c>
      <c r="G90" s="52"/>
      <c r="H90" s="52"/>
      <c r="I90" s="50"/>
      <c r="J90" s="50"/>
      <c r="K90" s="50"/>
      <c r="L90" s="50"/>
      <c r="M90" s="50"/>
      <c r="N90" s="50"/>
      <c r="O90" s="50"/>
    </row>
    <row r="91" spans="1:15" ht="20.25" customHeight="1" outlineLevel="2">
      <c r="A91" s="73">
        <v>9</v>
      </c>
      <c r="B91" s="18" t="s">
        <v>2</v>
      </c>
      <c r="C91" s="74" t="s">
        <v>80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7.25" customHeight="1" outlineLevel="1">
      <c r="A92" s="66"/>
      <c r="B92" s="20" t="s">
        <v>4</v>
      </c>
      <c r="C92" s="71"/>
      <c r="D92" s="7" t="s">
        <v>75</v>
      </c>
      <c r="E92" s="7" t="s">
        <v>75</v>
      </c>
      <c r="F92" s="7" t="s">
        <v>75</v>
      </c>
      <c r="G92" s="7" t="s">
        <v>75</v>
      </c>
      <c r="H92" s="7" t="s">
        <v>75</v>
      </c>
      <c r="I92" s="7" t="s">
        <v>75</v>
      </c>
      <c r="J92" s="7" t="s">
        <v>75</v>
      </c>
      <c r="K92" s="7" t="s">
        <v>75</v>
      </c>
      <c r="L92" s="7" t="s">
        <v>75</v>
      </c>
      <c r="M92" s="7" t="s">
        <v>75</v>
      </c>
      <c r="N92" s="7" t="s">
        <v>75</v>
      </c>
      <c r="O92" s="7" t="s">
        <v>75</v>
      </c>
    </row>
    <row r="93" spans="1:15" ht="24.75" customHeight="1" outlineLevel="1">
      <c r="A93" s="60" t="s">
        <v>81</v>
      </c>
      <c r="B93" s="18" t="s">
        <v>2</v>
      </c>
      <c r="C93" s="70" t="s">
        <v>82</v>
      </c>
      <c r="D93" s="8">
        <v>0.099</v>
      </c>
      <c r="E93" s="8">
        <v>0.059</v>
      </c>
      <c r="F93" s="8">
        <v>0.078</v>
      </c>
      <c r="G93" s="8">
        <v>0.057</v>
      </c>
      <c r="H93" s="8">
        <v>0.054</v>
      </c>
      <c r="I93" s="8">
        <v>0.048</v>
      </c>
      <c r="J93" s="8">
        <v>0.041</v>
      </c>
      <c r="K93" s="8">
        <v>0.027</v>
      </c>
      <c r="L93" s="8">
        <v>0.025</v>
      </c>
      <c r="M93" s="8">
        <v>0.023</v>
      </c>
      <c r="N93" s="8">
        <v>0.02</v>
      </c>
      <c r="O93" s="8">
        <v>0.01</v>
      </c>
    </row>
    <row r="94" spans="1:15" ht="24.75" customHeight="1" outlineLevel="2">
      <c r="A94" s="66"/>
      <c r="B94" s="20" t="s">
        <v>4</v>
      </c>
      <c r="C94" s="71"/>
      <c r="D94" s="9">
        <f>0.0586</f>
        <v>0.0586</v>
      </c>
      <c r="E94" s="9">
        <f>0.0626</f>
        <v>0.0626</v>
      </c>
      <c r="F94" s="9">
        <f>0.0574</f>
        <v>0.0574</v>
      </c>
      <c r="G94" s="9">
        <f>0.06</f>
        <v>0.06</v>
      </c>
      <c r="H94" s="9">
        <f>0.0563</f>
        <v>0.0563</v>
      </c>
      <c r="I94" s="9">
        <f>0.0507</f>
        <v>0.0507</v>
      </c>
      <c r="J94" s="9">
        <f>0.0434</f>
        <v>0.0434</v>
      </c>
      <c r="K94" s="9">
        <f>0.0324</f>
        <v>0.0324</v>
      </c>
      <c r="L94" s="9">
        <f>0.0361</f>
        <v>0.0361</v>
      </c>
      <c r="M94" s="9">
        <f>0.0337</f>
        <v>0.0337</v>
      </c>
      <c r="N94" s="9">
        <f>0.0295</f>
        <v>0.0295</v>
      </c>
      <c r="O94" s="9">
        <f>0.019</f>
        <v>0.019</v>
      </c>
    </row>
    <row r="95" spans="1:15" ht="22.5" customHeight="1" outlineLevel="2">
      <c r="A95" s="60" t="s">
        <v>83</v>
      </c>
      <c r="B95" s="18" t="s">
        <v>2</v>
      </c>
      <c r="C95" s="62" t="s">
        <v>84</v>
      </c>
      <c r="D95" s="5">
        <v>0.075</v>
      </c>
      <c r="E95" s="5">
        <v>0.059</v>
      </c>
      <c r="F95" s="5">
        <v>0.058</v>
      </c>
      <c r="G95" s="5">
        <v>0.057</v>
      </c>
      <c r="H95" s="5">
        <v>0.054</v>
      </c>
      <c r="I95" s="5">
        <v>0.048</v>
      </c>
      <c r="J95" s="5">
        <v>0.041</v>
      </c>
      <c r="K95" s="5">
        <v>0.027</v>
      </c>
      <c r="L95" s="5">
        <v>0.025</v>
      </c>
      <c r="M95" s="5">
        <v>0.023</v>
      </c>
      <c r="N95" s="5">
        <v>0.02</v>
      </c>
      <c r="O95" s="5">
        <v>0.01</v>
      </c>
    </row>
    <row r="96" spans="1:15" ht="27.75" customHeight="1" outlineLevel="2">
      <c r="A96" s="66"/>
      <c r="B96" s="20" t="s">
        <v>4</v>
      </c>
      <c r="C96" s="72"/>
      <c r="D96" s="5">
        <f>0.0586</f>
        <v>0.0586</v>
      </c>
      <c r="E96" s="5">
        <f>0.0626</f>
        <v>0.0626</v>
      </c>
      <c r="F96" s="5">
        <f>0.0574</f>
        <v>0.0574</v>
      </c>
      <c r="G96" s="5">
        <f>0.06</f>
        <v>0.06</v>
      </c>
      <c r="H96" s="5">
        <f>0.0563</f>
        <v>0.0563</v>
      </c>
      <c r="I96" s="5">
        <f>0.0507</f>
        <v>0.0507</v>
      </c>
      <c r="J96" s="5">
        <f>0.0434</f>
        <v>0.0434</v>
      </c>
      <c r="K96" s="5">
        <f>0.0324</f>
        <v>0.0324</v>
      </c>
      <c r="L96" s="5">
        <f>0.0361</f>
        <v>0.0361</v>
      </c>
      <c r="M96" s="5">
        <f>0.0337</f>
        <v>0.0337</v>
      </c>
      <c r="N96" s="5">
        <f>0.0295</f>
        <v>0.0295</v>
      </c>
      <c r="O96" s="5">
        <f>0.019</f>
        <v>0.019</v>
      </c>
    </row>
    <row r="97" spans="1:15" ht="33" customHeight="1" outlineLevel="2">
      <c r="A97" s="60" t="s">
        <v>85</v>
      </c>
      <c r="B97" s="18" t="s">
        <v>2</v>
      </c>
      <c r="C97" s="62" t="s">
        <v>86</v>
      </c>
      <c r="D97" s="5">
        <f>D93</f>
        <v>0.099</v>
      </c>
      <c r="E97" s="4">
        <f aca="true" t="shared" si="0" ref="E97:O97">E93</f>
        <v>0.059</v>
      </c>
      <c r="F97" s="4">
        <f t="shared" si="0"/>
        <v>0.078</v>
      </c>
      <c r="G97" s="4">
        <f t="shared" si="0"/>
        <v>0.057</v>
      </c>
      <c r="H97" s="4">
        <f t="shared" si="0"/>
        <v>0.054</v>
      </c>
      <c r="I97" s="4">
        <f t="shared" si="0"/>
        <v>0.048</v>
      </c>
      <c r="J97" s="4">
        <f t="shared" si="0"/>
        <v>0.041</v>
      </c>
      <c r="K97" s="4">
        <f t="shared" si="0"/>
        <v>0.027</v>
      </c>
      <c r="L97" s="4">
        <f t="shared" si="0"/>
        <v>0.025</v>
      </c>
      <c r="M97" s="4">
        <f t="shared" si="0"/>
        <v>0.023</v>
      </c>
      <c r="N97" s="4">
        <f t="shared" si="0"/>
        <v>0.02</v>
      </c>
      <c r="O97" s="4">
        <f t="shared" si="0"/>
        <v>0.01</v>
      </c>
    </row>
    <row r="98" spans="1:15" ht="48" customHeight="1" outlineLevel="2">
      <c r="A98" s="66"/>
      <c r="B98" s="20" t="s">
        <v>4</v>
      </c>
      <c r="C98" s="72"/>
      <c r="D98" s="5">
        <f>0.0586</f>
        <v>0.0586</v>
      </c>
      <c r="E98" s="5">
        <f>0.0626</f>
        <v>0.0626</v>
      </c>
      <c r="F98" s="5">
        <f>0.0574</f>
        <v>0.0574</v>
      </c>
      <c r="G98" s="5">
        <f>0.06</f>
        <v>0.06</v>
      </c>
      <c r="H98" s="5">
        <f>0.0563</f>
        <v>0.0563</v>
      </c>
      <c r="I98" s="5">
        <f>0.0507</f>
        <v>0.0507</v>
      </c>
      <c r="J98" s="5">
        <f>0.0434</f>
        <v>0.0434</v>
      </c>
      <c r="K98" s="5">
        <f>0.0324</f>
        <v>0.0324</v>
      </c>
      <c r="L98" s="5">
        <f>0.0361</f>
        <v>0.0361</v>
      </c>
      <c r="M98" s="5">
        <f>0.0337</f>
        <v>0.0337</v>
      </c>
      <c r="N98" s="5">
        <f>0.0295</f>
        <v>0.0295</v>
      </c>
      <c r="O98" s="5">
        <f>0.019</f>
        <v>0.019</v>
      </c>
    </row>
    <row r="99" spans="1:15" ht="33.75" customHeight="1" outlineLevel="2">
      <c r="A99" s="60" t="s">
        <v>87</v>
      </c>
      <c r="B99" s="18" t="s">
        <v>2</v>
      </c>
      <c r="C99" s="62" t="s">
        <v>88</v>
      </c>
      <c r="D99" s="35">
        <f>D95</f>
        <v>0.075</v>
      </c>
      <c r="E99" s="4">
        <f aca="true" t="shared" si="1" ref="E99:O99">E95</f>
        <v>0.059</v>
      </c>
      <c r="F99" s="4">
        <f t="shared" si="1"/>
        <v>0.058</v>
      </c>
      <c r="G99" s="4">
        <f t="shared" si="1"/>
        <v>0.057</v>
      </c>
      <c r="H99" s="4">
        <f t="shared" si="1"/>
        <v>0.054</v>
      </c>
      <c r="I99" s="4">
        <f t="shared" si="1"/>
        <v>0.048</v>
      </c>
      <c r="J99" s="4">
        <f t="shared" si="1"/>
        <v>0.041</v>
      </c>
      <c r="K99" s="4">
        <f t="shared" si="1"/>
        <v>0.027</v>
      </c>
      <c r="L99" s="4">
        <f t="shared" si="1"/>
        <v>0.025</v>
      </c>
      <c r="M99" s="4">
        <f t="shared" si="1"/>
        <v>0.023</v>
      </c>
      <c r="N99" s="4">
        <f t="shared" si="1"/>
        <v>0.02</v>
      </c>
      <c r="O99" s="4">
        <f t="shared" si="1"/>
        <v>0.01</v>
      </c>
    </row>
    <row r="100" spans="1:15" ht="50.25" customHeight="1" outlineLevel="2">
      <c r="A100" s="66"/>
      <c r="B100" s="20" t="s">
        <v>4</v>
      </c>
      <c r="C100" s="72"/>
      <c r="D100" s="5">
        <f>0.0586</f>
        <v>0.0586</v>
      </c>
      <c r="E100" s="5">
        <f>0.0626</f>
        <v>0.0626</v>
      </c>
      <c r="F100" s="5">
        <f>0.0574</f>
        <v>0.0574</v>
      </c>
      <c r="G100" s="5">
        <f>0.06</f>
        <v>0.06</v>
      </c>
      <c r="H100" s="5">
        <f>0.0563</f>
        <v>0.0563</v>
      </c>
      <c r="I100" s="5">
        <f>0.0507</f>
        <v>0.0507</v>
      </c>
      <c r="J100" s="5">
        <f>0.0434</f>
        <v>0.0434</v>
      </c>
      <c r="K100" s="5">
        <f>0.0324</f>
        <v>0.0324</v>
      </c>
      <c r="L100" s="5">
        <f>0.0361</f>
        <v>0.0361</v>
      </c>
      <c r="M100" s="5">
        <f>0.0337</f>
        <v>0.0337</v>
      </c>
      <c r="N100" s="5">
        <f>0.0295</f>
        <v>0.0295</v>
      </c>
      <c r="O100" s="5">
        <f>0.019</f>
        <v>0.019</v>
      </c>
    </row>
    <row r="101" spans="1:15" ht="28.5" customHeight="1" outlineLevel="2">
      <c r="A101" s="60" t="s">
        <v>89</v>
      </c>
      <c r="B101" s="18" t="s">
        <v>2</v>
      </c>
      <c r="C101" s="62" t="s">
        <v>90</v>
      </c>
      <c r="D101" s="39">
        <f>0</f>
        <v>0</v>
      </c>
      <c r="E101" s="43">
        <f>0</f>
        <v>0</v>
      </c>
      <c r="F101" s="43">
        <f>0</f>
        <v>0</v>
      </c>
      <c r="G101" s="43">
        <f>0</f>
        <v>0</v>
      </c>
      <c r="H101" s="43">
        <f>0</f>
        <v>0</v>
      </c>
      <c r="I101" s="43">
        <f>0</f>
        <v>0</v>
      </c>
      <c r="J101" s="43">
        <f>0</f>
        <v>0</v>
      </c>
      <c r="K101" s="43">
        <f>0</f>
        <v>0</v>
      </c>
      <c r="L101" s="43">
        <f>0</f>
        <v>0</v>
      </c>
      <c r="M101" s="43">
        <f>0</f>
        <v>0</v>
      </c>
      <c r="N101" s="43">
        <f>0</f>
        <v>0</v>
      </c>
      <c r="O101" s="43">
        <f>0</f>
        <v>0</v>
      </c>
    </row>
    <row r="102" spans="1:15" ht="27.75" customHeight="1" outlineLevel="2">
      <c r="A102" s="66"/>
      <c r="B102" s="20" t="s">
        <v>4</v>
      </c>
      <c r="C102" s="72"/>
      <c r="D102" s="40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1:15" ht="36" customHeight="1" outlineLevel="2">
      <c r="A103" s="60" t="s">
        <v>91</v>
      </c>
      <c r="B103" s="18" t="s">
        <v>2</v>
      </c>
      <c r="C103" s="62" t="s">
        <v>92</v>
      </c>
      <c r="D103" s="35">
        <f>D99</f>
        <v>0.075</v>
      </c>
      <c r="E103" s="4">
        <f aca="true" t="shared" si="2" ref="E103:O103">E99</f>
        <v>0.059</v>
      </c>
      <c r="F103" s="4">
        <f t="shared" si="2"/>
        <v>0.058</v>
      </c>
      <c r="G103" s="4">
        <f t="shared" si="2"/>
        <v>0.057</v>
      </c>
      <c r="H103" s="4">
        <f t="shared" si="2"/>
        <v>0.054</v>
      </c>
      <c r="I103" s="4">
        <f t="shared" si="2"/>
        <v>0.048</v>
      </c>
      <c r="J103" s="4">
        <f t="shared" si="2"/>
        <v>0.041</v>
      </c>
      <c r="K103" s="4">
        <f t="shared" si="2"/>
        <v>0.027</v>
      </c>
      <c r="L103" s="4">
        <f t="shared" si="2"/>
        <v>0.025</v>
      </c>
      <c r="M103" s="4">
        <f t="shared" si="2"/>
        <v>0.023</v>
      </c>
      <c r="N103" s="4">
        <f t="shared" si="2"/>
        <v>0.02</v>
      </c>
      <c r="O103" s="4">
        <f t="shared" si="2"/>
        <v>0.01</v>
      </c>
    </row>
    <row r="104" spans="1:15" ht="42.75" customHeight="1" outlineLevel="2">
      <c r="A104" s="66"/>
      <c r="B104" s="20" t="s">
        <v>4</v>
      </c>
      <c r="C104" s="72"/>
      <c r="D104" s="5">
        <f>0.0586</f>
        <v>0.0586</v>
      </c>
      <c r="E104" s="5">
        <f>0.0626</f>
        <v>0.0626</v>
      </c>
      <c r="F104" s="5">
        <f>0.0574</f>
        <v>0.0574</v>
      </c>
      <c r="G104" s="5">
        <f>0.06</f>
        <v>0.06</v>
      </c>
      <c r="H104" s="5">
        <f>0.0563</f>
        <v>0.0563</v>
      </c>
      <c r="I104" s="5">
        <f>0.0507</f>
        <v>0.0507</v>
      </c>
      <c r="J104" s="5">
        <f>0.0434</f>
        <v>0.0434</v>
      </c>
      <c r="K104" s="5">
        <f>0.0324</f>
        <v>0.0324</v>
      </c>
      <c r="L104" s="5">
        <f>0.0361</f>
        <v>0.0361</v>
      </c>
      <c r="M104" s="5">
        <f>0.0337</f>
        <v>0.0337</v>
      </c>
      <c r="N104" s="5">
        <f>0.0295</f>
        <v>0.0295</v>
      </c>
      <c r="O104" s="5">
        <f>0.019</f>
        <v>0.019</v>
      </c>
    </row>
    <row r="105" spans="1:15" ht="12" outlineLevel="2">
      <c r="A105" s="77" t="s">
        <v>93</v>
      </c>
      <c r="B105" s="18" t="s">
        <v>2</v>
      </c>
      <c r="C105" s="78" t="s">
        <v>94</v>
      </c>
      <c r="D105" s="5">
        <v>0.086</v>
      </c>
      <c r="E105" s="5">
        <v>0.059</v>
      </c>
      <c r="F105" s="5">
        <v>0.074</v>
      </c>
      <c r="G105" s="5">
        <v>0.072</v>
      </c>
      <c r="H105" s="5">
        <v>0.083</v>
      </c>
      <c r="I105" s="5">
        <v>0.092</v>
      </c>
      <c r="J105" s="5">
        <v>0.1</v>
      </c>
      <c r="K105" s="5">
        <v>0.104</v>
      </c>
      <c r="L105" s="5">
        <v>0.115</v>
      </c>
      <c r="M105" s="5">
        <v>0.125</v>
      </c>
      <c r="N105" s="5">
        <v>0.134</v>
      </c>
      <c r="O105" s="5">
        <v>0.144</v>
      </c>
    </row>
    <row r="106" spans="1:15" ht="18" customHeight="1" outlineLevel="3">
      <c r="A106" s="66"/>
      <c r="B106" s="20" t="s">
        <v>4</v>
      </c>
      <c r="C106" s="68"/>
      <c r="D106" s="5">
        <f>+IF(D6&lt;&gt;0,(D8+D24-D30)/D6,0)</f>
        <v>0.07372325672893064</v>
      </c>
      <c r="E106" s="5">
        <f>+IF(E6&lt;&gt;0,(E8+E24-E30)/E6,0)</f>
        <v>0.06262177239396687</v>
      </c>
      <c r="F106" s="5">
        <v>0.0749</v>
      </c>
      <c r="G106" s="5">
        <v>0.0724</v>
      </c>
      <c r="H106" s="5">
        <v>0.0831</v>
      </c>
      <c r="I106" s="5">
        <v>0.0921</v>
      </c>
      <c r="J106" s="5">
        <v>0.1001</v>
      </c>
      <c r="K106" s="5">
        <v>0.1043</v>
      </c>
      <c r="L106" s="5">
        <v>0.1146</v>
      </c>
      <c r="M106" s="5">
        <v>0.1246</v>
      </c>
      <c r="N106" s="5">
        <v>0.1343</v>
      </c>
      <c r="O106" s="5">
        <v>0.1435</v>
      </c>
    </row>
    <row r="107" spans="1:15" ht="34.5" customHeight="1" outlineLevel="3">
      <c r="A107" s="60" t="s">
        <v>95</v>
      </c>
      <c r="B107" s="18" t="s">
        <v>2</v>
      </c>
      <c r="C107" s="62" t="s">
        <v>96</v>
      </c>
      <c r="D107" s="5">
        <v>0.134</v>
      </c>
      <c r="E107" s="5">
        <v>0.123</v>
      </c>
      <c r="F107" s="5">
        <v>0.085</v>
      </c>
      <c r="G107" s="5">
        <v>0.073</v>
      </c>
      <c r="H107" s="5">
        <v>0.068</v>
      </c>
      <c r="I107" s="5">
        <v>0.076</v>
      </c>
      <c r="J107" s="5">
        <v>0.083</v>
      </c>
      <c r="K107" s="5">
        <v>0.092</v>
      </c>
      <c r="L107" s="5">
        <v>0.099</v>
      </c>
      <c r="M107" s="5">
        <v>0.106</v>
      </c>
      <c r="N107" s="5">
        <v>0.115</v>
      </c>
      <c r="O107" s="5">
        <v>0.125</v>
      </c>
    </row>
    <row r="108" spans="1:15" ht="38.25" customHeight="1" outlineLevel="2">
      <c r="A108" s="66"/>
      <c r="B108" s="20" t="s">
        <v>4</v>
      </c>
      <c r="C108" s="68"/>
      <c r="D108" s="5">
        <f>0.1342</f>
        <v>0.1342</v>
      </c>
      <c r="E108" s="5">
        <f>0.1193</f>
        <v>0.1193</v>
      </c>
      <c r="F108" s="5">
        <f>0.0822</f>
        <v>0.0822</v>
      </c>
      <c r="G108" s="5">
        <f>0.0704</f>
        <v>0.0704</v>
      </c>
      <c r="H108" s="5">
        <f>0.07</f>
        <v>0.07</v>
      </c>
      <c r="I108" s="5">
        <f>0.0768</f>
        <v>0.0768</v>
      </c>
      <c r="J108" s="5">
        <f>0.0825</f>
        <v>0.0825</v>
      </c>
      <c r="K108" s="5">
        <f>0.0918</f>
        <v>0.0918</v>
      </c>
      <c r="L108" s="5">
        <f>0.0988</f>
        <v>0.0988</v>
      </c>
      <c r="M108" s="5">
        <f>0.1063</f>
        <v>0.1063</v>
      </c>
      <c r="N108" s="5">
        <f>0.1145</f>
        <v>0.1145</v>
      </c>
      <c r="O108" s="5">
        <f>0.1245</f>
        <v>0.1245</v>
      </c>
    </row>
    <row r="109" spans="1:15" ht="41.25" customHeight="1" outlineLevel="2">
      <c r="A109" s="60" t="s">
        <v>97</v>
      </c>
      <c r="B109" s="18" t="s">
        <v>2</v>
      </c>
      <c r="C109" s="67" t="s">
        <v>98</v>
      </c>
      <c r="D109" s="48" t="s">
        <v>178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7"/>
    </row>
    <row r="110" spans="1:15" ht="33.75" customHeight="1" outlineLevel="2">
      <c r="A110" s="66"/>
      <c r="B110" s="20" t="s">
        <v>4</v>
      </c>
      <c r="C110" s="68"/>
      <c r="D110" s="5">
        <f>0.1399</f>
        <v>0.1399</v>
      </c>
      <c r="E110" s="5">
        <f>0.125</f>
        <v>0.125</v>
      </c>
      <c r="F110" s="5">
        <f>0.0879</f>
        <v>0.0879</v>
      </c>
      <c r="G110" s="5">
        <f>0.0704</f>
        <v>0.0704</v>
      </c>
      <c r="H110" s="5">
        <f>0.07</f>
        <v>0.07</v>
      </c>
      <c r="I110" s="5">
        <f>0.0768</f>
        <v>0.0768</v>
      </c>
      <c r="J110" s="5">
        <f>0.0825</f>
        <v>0.0825</v>
      </c>
      <c r="K110" s="5">
        <f>0.0918</f>
        <v>0.0918</v>
      </c>
      <c r="L110" s="5">
        <f>0.0988</f>
        <v>0.0988</v>
      </c>
      <c r="M110" s="5">
        <f>0.1063</f>
        <v>0.1063</v>
      </c>
      <c r="N110" s="5">
        <f>0.1145</f>
        <v>0.1145</v>
      </c>
      <c r="O110" s="5">
        <f>0.1245</f>
        <v>0.1245</v>
      </c>
    </row>
    <row r="111" spans="1:15" ht="28.5" customHeight="1" outlineLevel="2">
      <c r="A111" s="60" t="s">
        <v>99</v>
      </c>
      <c r="B111" s="18" t="s">
        <v>2</v>
      </c>
      <c r="C111" s="62" t="s">
        <v>100</v>
      </c>
      <c r="D111" s="11" t="str">
        <f>IF(D103&lt;=D107,"Spełniona","Nie spełniona")</f>
        <v>Spełniona</v>
      </c>
      <c r="E111" s="11" t="str">
        <f aca="true" t="shared" si="3" ref="E111:O112">IF(E103&lt;=E107,"Spełniona","Nie spełniona")</f>
        <v>Spełniona</v>
      </c>
      <c r="F111" s="11" t="str">
        <f t="shared" si="3"/>
        <v>Spełniona</v>
      </c>
      <c r="G111" s="11" t="str">
        <f t="shared" si="3"/>
        <v>Spełniona</v>
      </c>
      <c r="H111" s="11" t="str">
        <f t="shared" si="3"/>
        <v>Spełniona</v>
      </c>
      <c r="I111" s="11" t="str">
        <f t="shared" si="3"/>
        <v>Spełniona</v>
      </c>
      <c r="J111" s="11" t="str">
        <f t="shared" si="3"/>
        <v>Spełniona</v>
      </c>
      <c r="K111" s="11" t="str">
        <f t="shared" si="3"/>
        <v>Spełniona</v>
      </c>
      <c r="L111" s="11" t="str">
        <f t="shared" si="3"/>
        <v>Spełniona</v>
      </c>
      <c r="M111" s="11" t="str">
        <f t="shared" si="3"/>
        <v>Spełniona</v>
      </c>
      <c r="N111" s="11" t="str">
        <f t="shared" si="3"/>
        <v>Spełniona</v>
      </c>
      <c r="O111" s="11" t="str">
        <f t="shared" si="3"/>
        <v>Spełniona</v>
      </c>
    </row>
    <row r="112" spans="1:15" ht="54" customHeight="1" outlineLevel="2">
      <c r="A112" s="66"/>
      <c r="B112" s="20" t="s">
        <v>4</v>
      </c>
      <c r="C112" s="68"/>
      <c r="D112" s="11" t="str">
        <f>IF(D104&lt;=D108,"Spełniona","Nie spełniona")</f>
        <v>Spełniona</v>
      </c>
      <c r="E112" s="11" t="str">
        <f t="shared" si="3"/>
        <v>Spełniona</v>
      </c>
      <c r="F112" s="11" t="str">
        <f t="shared" si="3"/>
        <v>Spełniona</v>
      </c>
      <c r="G112" s="11" t="str">
        <f t="shared" si="3"/>
        <v>Spełniona</v>
      </c>
      <c r="H112" s="11" t="str">
        <f t="shared" si="3"/>
        <v>Spełniona</v>
      </c>
      <c r="I112" s="11" t="str">
        <f t="shared" si="3"/>
        <v>Spełniona</v>
      </c>
      <c r="J112" s="11" t="str">
        <f t="shared" si="3"/>
        <v>Spełniona</v>
      </c>
      <c r="K112" s="11" t="str">
        <f t="shared" si="3"/>
        <v>Spełniona</v>
      </c>
      <c r="L112" s="11" t="str">
        <f t="shared" si="3"/>
        <v>Spełniona</v>
      </c>
      <c r="M112" s="11" t="str">
        <f t="shared" si="3"/>
        <v>Spełniona</v>
      </c>
      <c r="N112" s="11" t="str">
        <f t="shared" si="3"/>
        <v>Spełniona</v>
      </c>
      <c r="O112" s="11" t="str">
        <f t="shared" si="3"/>
        <v>Spełniona</v>
      </c>
    </row>
    <row r="113" spans="1:15" ht="41.25" customHeight="1" outlineLevel="2">
      <c r="A113" s="60" t="s">
        <v>101</v>
      </c>
      <c r="B113" s="18" t="s">
        <v>2</v>
      </c>
      <c r="C113" s="67" t="s">
        <v>102</v>
      </c>
      <c r="D113" s="11" t="s">
        <v>103</v>
      </c>
      <c r="E113" s="10" t="s">
        <v>103</v>
      </c>
      <c r="F113" s="10" t="s">
        <v>103</v>
      </c>
      <c r="G113" s="10" t="s">
        <v>103</v>
      </c>
      <c r="H113" s="10" t="s">
        <v>103</v>
      </c>
      <c r="I113" s="10" t="s">
        <v>103</v>
      </c>
      <c r="J113" s="10" t="s">
        <v>103</v>
      </c>
      <c r="K113" s="10" t="s">
        <v>103</v>
      </c>
      <c r="L113" s="10" t="s">
        <v>103</v>
      </c>
      <c r="M113" s="10" t="s">
        <v>103</v>
      </c>
      <c r="N113" s="10" t="s">
        <v>103</v>
      </c>
      <c r="O113" s="10" t="s">
        <v>103</v>
      </c>
    </row>
    <row r="114" spans="1:15" ht="46.5" customHeight="1" outlineLevel="2">
      <c r="A114" s="66"/>
      <c r="B114" s="20" t="s">
        <v>4</v>
      </c>
      <c r="C114" s="68"/>
      <c r="D114" s="11" t="str">
        <f>IF(D104&lt;=D110,"Spełniona","Nie spełniona")</f>
        <v>Spełniona</v>
      </c>
      <c r="E114" s="11" t="str">
        <f aca="true" t="shared" si="4" ref="E114:O114">IF(E104&lt;=E110,"Spełniona","Nie spełniona")</f>
        <v>Spełniona</v>
      </c>
      <c r="F114" s="11" t="str">
        <f t="shared" si="4"/>
        <v>Spełniona</v>
      </c>
      <c r="G114" s="11" t="str">
        <f t="shared" si="4"/>
        <v>Spełniona</v>
      </c>
      <c r="H114" s="11" t="str">
        <f t="shared" si="4"/>
        <v>Spełniona</v>
      </c>
      <c r="I114" s="11" t="str">
        <f t="shared" si="4"/>
        <v>Spełniona</v>
      </c>
      <c r="J114" s="11" t="str">
        <f t="shared" si="4"/>
        <v>Spełniona</v>
      </c>
      <c r="K114" s="11" t="str">
        <f t="shared" si="4"/>
        <v>Spełniona</v>
      </c>
      <c r="L114" s="11" t="str">
        <f t="shared" si="4"/>
        <v>Spełniona</v>
      </c>
      <c r="M114" s="11" t="str">
        <f t="shared" si="4"/>
        <v>Spełniona</v>
      </c>
      <c r="N114" s="11" t="str">
        <f t="shared" si="4"/>
        <v>Spełniona</v>
      </c>
      <c r="O114" s="11" t="str">
        <f t="shared" si="4"/>
        <v>Spełniona</v>
      </c>
    </row>
    <row r="115" spans="1:15" ht="12" outlineLevel="2">
      <c r="A115" s="73">
        <v>10</v>
      </c>
      <c r="B115" s="18" t="s">
        <v>2</v>
      </c>
      <c r="C115" s="74" t="s">
        <v>104</v>
      </c>
      <c r="D115" s="32">
        <v>1335135</v>
      </c>
      <c r="E115" s="31">
        <v>835135</v>
      </c>
      <c r="F115" s="31">
        <v>1300160</v>
      </c>
      <c r="G115" s="31">
        <v>915135</v>
      </c>
      <c r="H115" s="31">
        <v>915135</v>
      </c>
      <c r="I115" s="31">
        <v>865515</v>
      </c>
      <c r="J115" s="31">
        <v>775551</v>
      </c>
      <c r="K115" s="31">
        <v>516671</v>
      </c>
      <c r="L115" s="31">
        <v>501551</v>
      </c>
      <c r="M115" s="31">
        <v>501551</v>
      </c>
      <c r="N115" s="31">
        <v>454151</v>
      </c>
      <c r="O115" s="31">
        <v>239050</v>
      </c>
    </row>
    <row r="116" spans="1:15" ht="12" outlineLevel="1">
      <c r="A116" s="66"/>
      <c r="B116" s="20" t="s">
        <v>4</v>
      </c>
      <c r="C116" s="71"/>
      <c r="D116" s="1">
        <f>338258</f>
        <v>338258</v>
      </c>
      <c r="E116" s="21">
        <f>35035</f>
        <v>35035</v>
      </c>
      <c r="F116" s="21">
        <f>374035</f>
        <v>374035</v>
      </c>
      <c r="G116" s="21">
        <f>915135</f>
        <v>915135</v>
      </c>
      <c r="H116" s="21">
        <f>915135</f>
        <v>915135</v>
      </c>
      <c r="I116" s="21">
        <f>865515</f>
        <v>865515</v>
      </c>
      <c r="J116" s="21">
        <f>775551</f>
        <v>775551</v>
      </c>
      <c r="K116" s="21">
        <f>581551</f>
        <v>581551</v>
      </c>
      <c r="L116" s="21">
        <f>716851</f>
        <v>716851</v>
      </c>
      <c r="M116" s="21">
        <f>716851</f>
        <v>716851</v>
      </c>
      <c r="N116" s="21">
        <f>669451</f>
        <v>669451</v>
      </c>
      <c r="O116" s="21">
        <f>454350</f>
        <v>454350</v>
      </c>
    </row>
    <row r="117" spans="1:15" ht="12" outlineLevel="1">
      <c r="A117" s="60" t="s">
        <v>105</v>
      </c>
      <c r="B117" s="18" t="s">
        <v>2</v>
      </c>
      <c r="C117" s="70" t="s">
        <v>106</v>
      </c>
      <c r="D117" s="32">
        <v>1335135</v>
      </c>
      <c r="E117" s="31">
        <v>835135</v>
      </c>
      <c r="F117" s="31">
        <v>1300160</v>
      </c>
      <c r="G117" s="31">
        <v>915135</v>
      </c>
      <c r="H117" s="31">
        <v>915135</v>
      </c>
      <c r="I117" s="31">
        <v>865515</v>
      </c>
      <c r="J117" s="31">
        <v>775551</v>
      </c>
      <c r="K117" s="31">
        <v>516671</v>
      </c>
      <c r="L117" s="31">
        <v>501551</v>
      </c>
      <c r="M117" s="31">
        <v>501551</v>
      </c>
      <c r="N117" s="31">
        <v>454151</v>
      </c>
      <c r="O117" s="31">
        <v>239050</v>
      </c>
    </row>
    <row r="118" spans="1:15" ht="12" outlineLevel="2">
      <c r="A118" s="66"/>
      <c r="B118" s="20" t="s">
        <v>4</v>
      </c>
      <c r="C118" s="71"/>
      <c r="D118" s="2">
        <f>338258</f>
        <v>338258</v>
      </c>
      <c r="E118" s="22">
        <f>35035</f>
        <v>35035</v>
      </c>
      <c r="F118" s="22">
        <f>374035</f>
        <v>374035</v>
      </c>
      <c r="G118" s="22">
        <f>915135</f>
        <v>915135</v>
      </c>
      <c r="H118" s="22">
        <f>915135</f>
        <v>915135</v>
      </c>
      <c r="I118" s="22">
        <f>865515</f>
        <v>865515</v>
      </c>
      <c r="J118" s="22">
        <f>775551</f>
        <v>775551</v>
      </c>
      <c r="K118" s="22">
        <v>581551</v>
      </c>
      <c r="L118" s="22">
        <f>716851</f>
        <v>716851</v>
      </c>
      <c r="M118" s="22">
        <f>716851</f>
        <v>716851</v>
      </c>
      <c r="N118" s="22">
        <f>669451</f>
        <v>669451</v>
      </c>
      <c r="O118" s="22">
        <f>454350</f>
        <v>454350</v>
      </c>
    </row>
    <row r="119" spans="1:15" ht="12" outlineLevel="2">
      <c r="A119" s="73">
        <v>11</v>
      </c>
      <c r="B119" s="18" t="s">
        <v>2</v>
      </c>
      <c r="C119" s="74" t="s">
        <v>107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" outlineLevel="1">
      <c r="A120" s="66"/>
      <c r="B120" s="20" t="s">
        <v>4</v>
      </c>
      <c r="C120" s="71"/>
      <c r="D120" s="7" t="s">
        <v>75</v>
      </c>
      <c r="E120" s="7" t="s">
        <v>75</v>
      </c>
      <c r="F120" s="7" t="s">
        <v>75</v>
      </c>
      <c r="G120" s="7" t="s">
        <v>75</v>
      </c>
      <c r="H120" s="7" t="s">
        <v>75</v>
      </c>
      <c r="I120" s="7" t="s">
        <v>75</v>
      </c>
      <c r="J120" s="7" t="s">
        <v>75</v>
      </c>
      <c r="K120" s="7" t="s">
        <v>75</v>
      </c>
      <c r="L120" s="7" t="s">
        <v>75</v>
      </c>
      <c r="M120" s="7" t="s">
        <v>75</v>
      </c>
      <c r="N120" s="7" t="s">
        <v>75</v>
      </c>
      <c r="O120" s="7" t="s">
        <v>75</v>
      </c>
    </row>
    <row r="121" spans="1:15" ht="12" outlineLevel="1">
      <c r="A121" s="60" t="s">
        <v>108</v>
      </c>
      <c r="B121" s="18" t="s">
        <v>2</v>
      </c>
      <c r="C121" s="70" t="s">
        <v>109</v>
      </c>
      <c r="D121" s="36">
        <v>7708702</v>
      </c>
      <c r="E121" s="30">
        <v>7861000</v>
      </c>
      <c r="F121" s="30">
        <v>8019000</v>
      </c>
      <c r="G121" s="30">
        <v>8179000</v>
      </c>
      <c r="H121" s="30">
        <v>8370000</v>
      </c>
      <c r="I121" s="30">
        <v>8509000</v>
      </c>
      <c r="J121" s="30">
        <v>8680000</v>
      </c>
      <c r="K121" s="30">
        <v>8853000</v>
      </c>
      <c r="L121" s="30">
        <v>8942000</v>
      </c>
      <c r="M121" s="30">
        <v>9031000</v>
      </c>
      <c r="N121" s="30">
        <v>9121000</v>
      </c>
      <c r="O121" s="30">
        <v>9213000</v>
      </c>
    </row>
    <row r="122" spans="1:15" ht="12" outlineLevel="2">
      <c r="A122" s="66"/>
      <c r="B122" s="20" t="s">
        <v>4</v>
      </c>
      <c r="C122" s="71"/>
      <c r="D122" s="36">
        <f>7698600.8</f>
        <v>7698600.8</v>
      </c>
      <c r="E122" s="30">
        <f>7861000</f>
        <v>7861000</v>
      </c>
      <c r="F122" s="30">
        <f>8019000</f>
        <v>8019000</v>
      </c>
      <c r="G122" s="30">
        <f>8179000</f>
        <v>8179000</v>
      </c>
      <c r="H122" s="25">
        <f>0</f>
        <v>0</v>
      </c>
      <c r="I122" s="25">
        <f>0</f>
        <v>0</v>
      </c>
      <c r="J122" s="25">
        <f>0</f>
        <v>0</v>
      </c>
      <c r="K122" s="25">
        <f>0</f>
        <v>0</v>
      </c>
      <c r="L122" s="25">
        <f>0</f>
        <v>0</v>
      </c>
      <c r="M122" s="25">
        <f>0</f>
        <v>0</v>
      </c>
      <c r="N122" s="25">
        <f>0</f>
        <v>0</v>
      </c>
      <c r="O122" s="25">
        <f>0</f>
        <v>0</v>
      </c>
    </row>
    <row r="123" spans="1:15" ht="12" outlineLevel="2">
      <c r="A123" s="60" t="s">
        <v>110</v>
      </c>
      <c r="B123" s="18" t="s">
        <v>2</v>
      </c>
      <c r="C123" s="62" t="s">
        <v>111</v>
      </c>
      <c r="D123" s="2">
        <v>1053750</v>
      </c>
      <c r="E123" s="25">
        <v>1070000</v>
      </c>
      <c r="F123" s="25">
        <v>1096000</v>
      </c>
      <c r="G123" s="25">
        <v>1118000</v>
      </c>
      <c r="H123" s="25">
        <v>1140000</v>
      </c>
      <c r="I123" s="25">
        <v>1163000</v>
      </c>
      <c r="J123" s="25">
        <v>1186000</v>
      </c>
      <c r="K123" s="25">
        <v>1210000</v>
      </c>
      <c r="L123" s="25">
        <v>1222000</v>
      </c>
      <c r="M123" s="25">
        <v>1234000</v>
      </c>
      <c r="N123" s="25">
        <v>1246000</v>
      </c>
      <c r="O123" s="25">
        <v>1259000</v>
      </c>
    </row>
    <row r="124" spans="1:15" ht="12" outlineLevel="2">
      <c r="A124" s="66"/>
      <c r="B124" s="20" t="s">
        <v>4</v>
      </c>
      <c r="C124" s="72"/>
      <c r="D124" s="2">
        <f>1704850</f>
        <v>1704850</v>
      </c>
      <c r="E124" s="25">
        <f>1738000</f>
        <v>1738000</v>
      </c>
      <c r="F124" s="25">
        <f>1765000</f>
        <v>1765000</v>
      </c>
      <c r="G124" s="25">
        <f>1793000</f>
        <v>1793000</v>
      </c>
      <c r="H124" s="25">
        <f>0</f>
        <v>0</v>
      </c>
      <c r="I124" s="25">
        <f>0</f>
        <v>0</v>
      </c>
      <c r="J124" s="25">
        <f>0</f>
        <v>0</v>
      </c>
      <c r="K124" s="25">
        <f>0</f>
        <v>0</v>
      </c>
      <c r="L124" s="25">
        <f>0</f>
        <v>0</v>
      </c>
      <c r="M124" s="25">
        <f>0</f>
        <v>0</v>
      </c>
      <c r="N124" s="25">
        <f>0</f>
        <v>0</v>
      </c>
      <c r="O124" s="25">
        <f>0</f>
        <v>0</v>
      </c>
    </row>
    <row r="125" spans="1:15" ht="12" outlineLevel="2">
      <c r="A125" s="60" t="s">
        <v>112</v>
      </c>
      <c r="B125" s="18" t="s">
        <v>2</v>
      </c>
      <c r="C125" s="62" t="s">
        <v>113</v>
      </c>
      <c r="D125" s="2">
        <v>1049622</v>
      </c>
      <c r="E125" s="22">
        <v>1645249</v>
      </c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2" outlineLevel="2">
      <c r="A126" s="66"/>
      <c r="B126" s="20" t="s">
        <v>4</v>
      </c>
      <c r="C126" s="72"/>
      <c r="D126" s="2">
        <f>274992</f>
        <v>274992</v>
      </c>
      <c r="E126" s="22">
        <f>1305379</f>
        <v>1305379</v>
      </c>
      <c r="F126" s="22">
        <f>1750990</f>
        <v>1750990</v>
      </c>
      <c r="G126" s="22">
        <f>0</f>
        <v>0</v>
      </c>
      <c r="H126" s="22">
        <f>0</f>
        <v>0</v>
      </c>
      <c r="I126" s="22">
        <f>0</f>
        <v>0</v>
      </c>
      <c r="J126" s="22">
        <f>0</f>
        <v>0</v>
      </c>
      <c r="K126" s="22">
        <f>0</f>
        <v>0</v>
      </c>
      <c r="L126" s="22">
        <f>0</f>
        <v>0</v>
      </c>
      <c r="M126" s="22">
        <f>0</f>
        <v>0</v>
      </c>
      <c r="N126" s="22">
        <f>0</f>
        <v>0</v>
      </c>
      <c r="O126" s="22">
        <f>0</f>
        <v>0</v>
      </c>
    </row>
    <row r="127" spans="1:15" ht="12" outlineLevel="2">
      <c r="A127" s="60" t="s">
        <v>114</v>
      </c>
      <c r="B127" s="18" t="s">
        <v>2</v>
      </c>
      <c r="C127" s="67" t="s">
        <v>115</v>
      </c>
      <c r="D127" s="2">
        <v>641875</v>
      </c>
      <c r="E127" s="22">
        <v>96979</v>
      </c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12" outlineLevel="3">
      <c r="A128" s="66"/>
      <c r="B128" s="20" t="s">
        <v>4</v>
      </c>
      <c r="C128" s="68"/>
      <c r="D128" s="2">
        <f>274992</f>
        <v>274992</v>
      </c>
      <c r="E128" s="22">
        <f>97369</f>
        <v>97369</v>
      </c>
      <c r="F128" s="22">
        <f>0</f>
        <v>0</v>
      </c>
      <c r="G128" s="22">
        <f>0</f>
        <v>0</v>
      </c>
      <c r="H128" s="22">
        <f>0</f>
        <v>0</v>
      </c>
      <c r="I128" s="22">
        <f>0</f>
        <v>0</v>
      </c>
      <c r="J128" s="22">
        <f>0</f>
        <v>0</v>
      </c>
      <c r="K128" s="22">
        <f>0</f>
        <v>0</v>
      </c>
      <c r="L128" s="22">
        <f>0</f>
        <v>0</v>
      </c>
      <c r="M128" s="22">
        <f>0</f>
        <v>0</v>
      </c>
      <c r="N128" s="22">
        <f>0</f>
        <v>0</v>
      </c>
      <c r="O128" s="22">
        <f>0</f>
        <v>0</v>
      </c>
    </row>
    <row r="129" spans="1:15" ht="18" customHeight="1" outlineLevel="3">
      <c r="A129" s="60" t="s">
        <v>116</v>
      </c>
      <c r="B129" s="18" t="s">
        <v>2</v>
      </c>
      <c r="C129" s="67" t="s">
        <v>117</v>
      </c>
      <c r="D129" s="2">
        <v>774630</v>
      </c>
      <c r="E129" s="22">
        <v>1548270</v>
      </c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15" ht="15" customHeight="1" outlineLevel="3">
      <c r="A130" s="66"/>
      <c r="B130" s="20" t="s">
        <v>4</v>
      </c>
      <c r="C130" s="69"/>
      <c r="D130" s="2">
        <f>0</f>
        <v>0</v>
      </c>
      <c r="E130" s="22">
        <f>1208010</f>
        <v>1208010</v>
      </c>
      <c r="F130" s="22">
        <f>1750990</f>
        <v>1750990</v>
      </c>
      <c r="G130" s="22">
        <f>0</f>
        <v>0</v>
      </c>
      <c r="H130" s="22">
        <f>0</f>
        <v>0</v>
      </c>
      <c r="I130" s="22">
        <f>0</f>
        <v>0</v>
      </c>
      <c r="J130" s="22">
        <f>0</f>
        <v>0</v>
      </c>
      <c r="K130" s="22">
        <f>0</f>
        <v>0</v>
      </c>
      <c r="L130" s="22">
        <f>0</f>
        <v>0</v>
      </c>
      <c r="M130" s="22">
        <f>0</f>
        <v>0</v>
      </c>
      <c r="N130" s="22">
        <f>0</f>
        <v>0</v>
      </c>
      <c r="O130" s="22">
        <f>0</f>
        <v>0</v>
      </c>
    </row>
    <row r="131" spans="1:15" ht="24.75" customHeight="1" outlineLevel="3">
      <c r="A131" s="60" t="s">
        <v>118</v>
      </c>
      <c r="B131" s="18" t="s">
        <v>2</v>
      </c>
      <c r="C131" s="62" t="s">
        <v>119</v>
      </c>
      <c r="D131" s="45" t="s">
        <v>179</v>
      </c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7"/>
    </row>
    <row r="132" spans="1:15" ht="12" outlineLevel="2">
      <c r="A132" s="66"/>
      <c r="B132" s="20" t="s">
        <v>4</v>
      </c>
      <c r="C132" s="68"/>
      <c r="D132" s="2">
        <f>374286</f>
        <v>374286</v>
      </c>
      <c r="E132" s="2">
        <f>0</f>
        <v>0</v>
      </c>
      <c r="F132" s="2">
        <f>0</f>
        <v>0</v>
      </c>
      <c r="G132" s="2">
        <f>0</f>
        <v>0</v>
      </c>
      <c r="H132" s="2">
        <f>0</f>
        <v>0</v>
      </c>
      <c r="I132" s="2">
        <f>0</f>
        <v>0</v>
      </c>
      <c r="J132" s="2">
        <f>0</f>
        <v>0</v>
      </c>
      <c r="K132" s="2">
        <f>0</f>
        <v>0</v>
      </c>
      <c r="L132" s="2">
        <f>0</f>
        <v>0</v>
      </c>
      <c r="M132" s="2">
        <f>0</f>
        <v>0</v>
      </c>
      <c r="N132" s="2">
        <f>0</f>
        <v>0</v>
      </c>
      <c r="O132" s="2">
        <f>0</f>
        <v>0</v>
      </c>
    </row>
    <row r="133" spans="1:15" ht="19.5" customHeight="1" outlineLevel="2">
      <c r="A133" s="60" t="s">
        <v>120</v>
      </c>
      <c r="B133" s="18" t="s">
        <v>2</v>
      </c>
      <c r="C133" s="62" t="s">
        <v>121</v>
      </c>
      <c r="D133" s="45" t="s">
        <v>179</v>
      </c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7"/>
    </row>
    <row r="134" spans="1:15" ht="12" outlineLevel="2">
      <c r="A134" s="66"/>
      <c r="B134" s="20" t="s">
        <v>4</v>
      </c>
      <c r="C134" s="72"/>
      <c r="D134" s="2">
        <f>1529925</f>
        <v>1529925</v>
      </c>
      <c r="E134" s="2">
        <f>1208010</f>
        <v>1208010</v>
      </c>
      <c r="F134" s="2">
        <f>1750990</f>
        <v>1750990</v>
      </c>
      <c r="G134" s="2">
        <f>500000</f>
        <v>500000</v>
      </c>
      <c r="H134" s="2">
        <f>0</f>
        <v>0</v>
      </c>
      <c r="I134" s="2">
        <f>0</f>
        <v>0</v>
      </c>
      <c r="J134" s="2">
        <f>0</f>
        <v>0</v>
      </c>
      <c r="K134" s="2">
        <f>0</f>
        <v>0</v>
      </c>
      <c r="L134" s="2">
        <f>0</f>
        <v>0</v>
      </c>
      <c r="M134" s="2">
        <f>0</f>
        <v>0</v>
      </c>
      <c r="N134" s="2">
        <f>0</f>
        <v>0</v>
      </c>
      <c r="O134" s="2">
        <f>0</f>
        <v>0</v>
      </c>
    </row>
    <row r="135" spans="1:15" ht="18.75" customHeight="1" outlineLevel="2">
      <c r="A135" s="60" t="s">
        <v>122</v>
      </c>
      <c r="B135" s="18" t="s">
        <v>2</v>
      </c>
      <c r="C135" s="62" t="s">
        <v>123</v>
      </c>
      <c r="D135" s="45" t="s">
        <v>179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7"/>
    </row>
    <row r="136" spans="1:15" ht="12" outlineLevel="2">
      <c r="A136" s="66"/>
      <c r="B136" s="20" t="s">
        <v>4</v>
      </c>
      <c r="C136" s="72"/>
      <c r="D136" s="2">
        <f>16000</f>
        <v>16000</v>
      </c>
      <c r="E136" s="2">
        <f>0</f>
        <v>0</v>
      </c>
      <c r="F136" s="2">
        <f>0</f>
        <v>0</v>
      </c>
      <c r="G136" s="2">
        <f>0</f>
        <v>0</v>
      </c>
      <c r="H136" s="2">
        <f>0</f>
        <v>0</v>
      </c>
      <c r="I136" s="2">
        <f>0</f>
        <v>0</v>
      </c>
      <c r="J136" s="2">
        <f>0</f>
        <v>0</v>
      </c>
      <c r="K136" s="2">
        <f>0</f>
        <v>0</v>
      </c>
      <c r="L136" s="2">
        <f>0</f>
        <v>0</v>
      </c>
      <c r="M136" s="2">
        <f>0</f>
        <v>0</v>
      </c>
      <c r="N136" s="2">
        <f>0</f>
        <v>0</v>
      </c>
      <c r="O136" s="2">
        <f>0</f>
        <v>0</v>
      </c>
    </row>
    <row r="137" spans="1:15" ht="12" outlineLevel="2">
      <c r="A137" s="73">
        <v>12</v>
      </c>
      <c r="B137" s="18" t="s">
        <v>2</v>
      </c>
      <c r="C137" s="74" t="s">
        <v>124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27.75" customHeight="1" outlineLevel="1">
      <c r="A138" s="66"/>
      <c r="B138" s="20" t="s">
        <v>4</v>
      </c>
      <c r="C138" s="71"/>
      <c r="D138" s="7" t="s">
        <v>75</v>
      </c>
      <c r="E138" s="7" t="s">
        <v>75</v>
      </c>
      <c r="F138" s="7" t="s">
        <v>75</v>
      </c>
      <c r="G138" s="7" t="s">
        <v>75</v>
      </c>
      <c r="H138" s="7" t="s">
        <v>75</v>
      </c>
      <c r="I138" s="7" t="s">
        <v>75</v>
      </c>
      <c r="J138" s="7" t="s">
        <v>75</v>
      </c>
      <c r="K138" s="7" t="s">
        <v>75</v>
      </c>
      <c r="L138" s="7" t="s">
        <v>75</v>
      </c>
      <c r="M138" s="7" t="s">
        <v>75</v>
      </c>
      <c r="N138" s="7" t="s">
        <v>75</v>
      </c>
      <c r="O138" s="7" t="s">
        <v>75</v>
      </c>
    </row>
    <row r="139" spans="1:15" ht="12" outlineLevel="1">
      <c r="A139" s="60" t="s">
        <v>125</v>
      </c>
      <c r="B139" s="18" t="s">
        <v>2</v>
      </c>
      <c r="C139" s="70" t="s">
        <v>126</v>
      </c>
      <c r="D139" s="37">
        <v>127000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27.75" customHeight="1" outlineLevel="2">
      <c r="A140" s="66"/>
      <c r="B140" s="20" t="s">
        <v>4</v>
      </c>
      <c r="C140" s="71"/>
      <c r="D140" s="2">
        <f>188408.32</f>
        <v>188408.32</v>
      </c>
      <c r="E140" s="2">
        <f>0</f>
        <v>0</v>
      </c>
      <c r="F140" s="2">
        <f>0</f>
        <v>0</v>
      </c>
      <c r="G140" s="2">
        <f>0</f>
        <v>0</v>
      </c>
      <c r="H140" s="2">
        <f>0</f>
        <v>0</v>
      </c>
      <c r="I140" s="2">
        <f>0</f>
        <v>0</v>
      </c>
      <c r="J140" s="2">
        <f>0</f>
        <v>0</v>
      </c>
      <c r="K140" s="2">
        <f>0</f>
        <v>0</v>
      </c>
      <c r="L140" s="2">
        <f>0</f>
        <v>0</v>
      </c>
      <c r="M140" s="2">
        <f>0</f>
        <v>0</v>
      </c>
      <c r="N140" s="2">
        <f>0</f>
        <v>0</v>
      </c>
      <c r="O140" s="2">
        <f>0</f>
        <v>0</v>
      </c>
    </row>
    <row r="141" spans="1:15" ht="12" outlineLevel="2">
      <c r="A141" s="60" t="s">
        <v>127</v>
      </c>
      <c r="B141" s="18" t="s">
        <v>2</v>
      </c>
      <c r="C141" s="67" t="s">
        <v>128</v>
      </c>
      <c r="D141" s="37">
        <v>127000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" outlineLevel="3">
      <c r="A142" s="66"/>
      <c r="B142" s="20" t="s">
        <v>4</v>
      </c>
      <c r="C142" s="68"/>
      <c r="D142" s="2">
        <f>188408.32</f>
        <v>188408.32</v>
      </c>
      <c r="E142" s="2">
        <f>0</f>
        <v>0</v>
      </c>
      <c r="F142" s="2">
        <f>0</f>
        <v>0</v>
      </c>
      <c r="G142" s="2">
        <f>0</f>
        <v>0</v>
      </c>
      <c r="H142" s="2">
        <f>0</f>
        <v>0</v>
      </c>
      <c r="I142" s="2">
        <f>0</f>
        <v>0</v>
      </c>
      <c r="J142" s="2">
        <f>0</f>
        <v>0</v>
      </c>
      <c r="K142" s="2">
        <f>0</f>
        <v>0</v>
      </c>
      <c r="L142" s="2">
        <f>0</f>
        <v>0</v>
      </c>
      <c r="M142" s="2">
        <f>0</f>
        <v>0</v>
      </c>
      <c r="N142" s="2">
        <f>0</f>
        <v>0</v>
      </c>
      <c r="O142" s="2">
        <f>0</f>
        <v>0</v>
      </c>
    </row>
    <row r="143" spans="1:15" ht="15" outlineLevel="3">
      <c r="A143" s="60" t="s">
        <v>129</v>
      </c>
      <c r="B143" s="18" t="s">
        <v>2</v>
      </c>
      <c r="C143" s="76" t="s">
        <v>130</v>
      </c>
      <c r="D143" s="45" t="s">
        <v>179</v>
      </c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7"/>
    </row>
    <row r="144" spans="1:15" ht="24" customHeight="1" outlineLevel="3">
      <c r="A144" s="66"/>
      <c r="B144" s="20" t="s">
        <v>4</v>
      </c>
      <c r="C144" s="68"/>
      <c r="D144" s="2">
        <f>188408.32</f>
        <v>188408.32</v>
      </c>
      <c r="E144" s="2">
        <f>0</f>
        <v>0</v>
      </c>
      <c r="F144" s="2">
        <f>0</f>
        <v>0</v>
      </c>
      <c r="G144" s="2">
        <f>0</f>
        <v>0</v>
      </c>
      <c r="H144" s="2">
        <f>0</f>
        <v>0</v>
      </c>
      <c r="I144" s="2">
        <f>0</f>
        <v>0</v>
      </c>
      <c r="J144" s="2">
        <f>0</f>
        <v>0</v>
      </c>
      <c r="K144" s="2">
        <f>0</f>
        <v>0</v>
      </c>
      <c r="L144" s="2">
        <f>0</f>
        <v>0</v>
      </c>
      <c r="M144" s="2">
        <f>0</f>
        <v>0</v>
      </c>
      <c r="N144" s="2">
        <f>0</f>
        <v>0</v>
      </c>
      <c r="O144" s="2">
        <f>0</f>
        <v>0</v>
      </c>
    </row>
    <row r="145" spans="1:15" ht="24" customHeight="1" outlineLevel="3">
      <c r="A145" s="60" t="s">
        <v>131</v>
      </c>
      <c r="B145" s="18" t="s">
        <v>2</v>
      </c>
      <c r="C145" s="62" t="s">
        <v>132</v>
      </c>
      <c r="D145" s="2">
        <v>745743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8.75" customHeight="1" outlineLevel="2">
      <c r="A146" s="66"/>
      <c r="B146" s="20" t="s">
        <v>4</v>
      </c>
      <c r="C146" s="68"/>
      <c r="D146" s="2">
        <f>1132274</f>
        <v>1132274</v>
      </c>
      <c r="E146" s="2">
        <f>0</f>
        <v>0</v>
      </c>
      <c r="F146" s="2">
        <f>0</f>
        <v>0</v>
      </c>
      <c r="G146" s="2">
        <f>0</f>
        <v>0</v>
      </c>
      <c r="H146" s="2">
        <f>0</f>
        <v>0</v>
      </c>
      <c r="I146" s="2">
        <f>0</f>
        <v>0</v>
      </c>
      <c r="J146" s="2">
        <f>0</f>
        <v>0</v>
      </c>
      <c r="K146" s="2">
        <f>0</f>
        <v>0</v>
      </c>
      <c r="L146" s="2">
        <f>0</f>
        <v>0</v>
      </c>
      <c r="M146" s="2">
        <f>0</f>
        <v>0</v>
      </c>
      <c r="N146" s="2">
        <f>0</f>
        <v>0</v>
      </c>
      <c r="O146" s="2">
        <f>0</f>
        <v>0</v>
      </c>
    </row>
    <row r="147" spans="1:15" ht="12" outlineLevel="2">
      <c r="A147" s="60" t="s">
        <v>133</v>
      </c>
      <c r="B147" s="18" t="s">
        <v>2</v>
      </c>
      <c r="C147" s="67" t="s">
        <v>128</v>
      </c>
      <c r="D147" s="2">
        <v>745743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" outlineLevel="3">
      <c r="A148" s="66"/>
      <c r="B148" s="20" t="s">
        <v>4</v>
      </c>
      <c r="C148" s="68"/>
      <c r="D148" s="2">
        <f>1132274</f>
        <v>1132274</v>
      </c>
      <c r="E148" s="2">
        <f>0</f>
        <v>0</v>
      </c>
      <c r="F148" s="2">
        <f>0</f>
        <v>0</v>
      </c>
      <c r="G148" s="2">
        <f>0</f>
        <v>0</v>
      </c>
      <c r="H148" s="2">
        <f>0</f>
        <v>0</v>
      </c>
      <c r="I148" s="2">
        <f>0</f>
        <v>0</v>
      </c>
      <c r="J148" s="2">
        <f>0</f>
        <v>0</v>
      </c>
      <c r="K148" s="2">
        <f>0</f>
        <v>0</v>
      </c>
      <c r="L148" s="2">
        <f>0</f>
        <v>0</v>
      </c>
      <c r="M148" s="2">
        <f>0</f>
        <v>0</v>
      </c>
      <c r="N148" s="2">
        <f>0</f>
        <v>0</v>
      </c>
      <c r="O148" s="2">
        <f>0</f>
        <v>0</v>
      </c>
    </row>
    <row r="149" spans="1:15" ht="21" customHeight="1" outlineLevel="3">
      <c r="A149" s="60" t="s">
        <v>134</v>
      </c>
      <c r="B149" s="18" t="s">
        <v>2</v>
      </c>
      <c r="C149" s="76" t="s">
        <v>130</v>
      </c>
      <c r="D149" s="45" t="s">
        <v>179</v>
      </c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7"/>
    </row>
    <row r="150" spans="1:15" ht="19.5" customHeight="1" outlineLevel="3">
      <c r="A150" s="66"/>
      <c r="B150" s="20" t="s">
        <v>4</v>
      </c>
      <c r="C150" s="68"/>
      <c r="D150" s="2">
        <f>1132274</f>
        <v>1132274</v>
      </c>
      <c r="E150" s="2">
        <f>0</f>
        <v>0</v>
      </c>
      <c r="F150" s="2">
        <f>0</f>
        <v>0</v>
      </c>
      <c r="G150" s="2">
        <f>0</f>
        <v>0</v>
      </c>
      <c r="H150" s="2">
        <f>0</f>
        <v>0</v>
      </c>
      <c r="I150" s="2">
        <f>0</f>
        <v>0</v>
      </c>
      <c r="J150" s="2">
        <f>0</f>
        <v>0</v>
      </c>
      <c r="K150" s="2">
        <f>0</f>
        <v>0</v>
      </c>
      <c r="L150" s="2">
        <f>0</f>
        <v>0</v>
      </c>
      <c r="M150" s="2">
        <f>0</f>
        <v>0</v>
      </c>
      <c r="N150" s="2">
        <f>0</f>
        <v>0</v>
      </c>
      <c r="O150" s="2">
        <f>0</f>
        <v>0</v>
      </c>
    </row>
    <row r="151" spans="1:15" ht="20.25" customHeight="1" outlineLevel="3">
      <c r="A151" s="60" t="s">
        <v>135</v>
      </c>
      <c r="B151" s="18" t="s">
        <v>2</v>
      </c>
      <c r="C151" s="62" t="s">
        <v>136</v>
      </c>
      <c r="D151" s="2">
        <v>0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8.75" customHeight="1" outlineLevel="2">
      <c r="A152" s="66"/>
      <c r="B152" s="20" t="s">
        <v>4</v>
      </c>
      <c r="C152" s="68"/>
      <c r="D152" s="2">
        <f>68381.46</f>
        <v>68381.46</v>
      </c>
      <c r="E152" s="2">
        <f>0</f>
        <v>0</v>
      </c>
      <c r="F152" s="2">
        <f>0</f>
        <v>0</v>
      </c>
      <c r="G152" s="2">
        <f>0</f>
        <v>0</v>
      </c>
      <c r="H152" s="2">
        <f>0</f>
        <v>0</v>
      </c>
      <c r="I152" s="2">
        <f>0</f>
        <v>0</v>
      </c>
      <c r="J152" s="2">
        <f>0</f>
        <v>0</v>
      </c>
      <c r="K152" s="2">
        <f>0</f>
        <v>0</v>
      </c>
      <c r="L152" s="2">
        <f>0</f>
        <v>0</v>
      </c>
      <c r="M152" s="2">
        <f>0</f>
        <v>0</v>
      </c>
      <c r="N152" s="2">
        <f>0</f>
        <v>0</v>
      </c>
      <c r="O152" s="2">
        <f>0</f>
        <v>0</v>
      </c>
    </row>
    <row r="153" spans="1:15" ht="12" outlineLevel="2">
      <c r="A153" s="60" t="s">
        <v>137</v>
      </c>
      <c r="B153" s="18" t="s">
        <v>2</v>
      </c>
      <c r="C153" s="67" t="s">
        <v>138</v>
      </c>
      <c r="D153" s="2"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" outlineLevel="3">
      <c r="A154" s="66"/>
      <c r="B154" s="20" t="s">
        <v>4</v>
      </c>
      <c r="C154" s="68"/>
      <c r="D154" s="2">
        <f>61201.32</f>
        <v>61201.32</v>
      </c>
      <c r="E154" s="2">
        <f>0</f>
        <v>0</v>
      </c>
      <c r="F154" s="2">
        <f>0</f>
        <v>0</v>
      </c>
      <c r="G154" s="2">
        <f>0</f>
        <v>0</v>
      </c>
      <c r="H154" s="2">
        <f>0</f>
        <v>0</v>
      </c>
      <c r="I154" s="2">
        <f>0</f>
        <v>0</v>
      </c>
      <c r="J154" s="2">
        <f>0</f>
        <v>0</v>
      </c>
      <c r="K154" s="2">
        <f>0</f>
        <v>0</v>
      </c>
      <c r="L154" s="2">
        <f>0</f>
        <v>0</v>
      </c>
      <c r="M154" s="2">
        <f>0</f>
        <v>0</v>
      </c>
      <c r="N154" s="2">
        <f>0</f>
        <v>0</v>
      </c>
      <c r="O154" s="2">
        <f>0</f>
        <v>0</v>
      </c>
    </row>
    <row r="155" spans="1:15" ht="12" outlineLevel="3">
      <c r="A155" s="60" t="s">
        <v>139</v>
      </c>
      <c r="B155" s="18" t="s">
        <v>2</v>
      </c>
      <c r="C155" s="67" t="s">
        <v>140</v>
      </c>
      <c r="D155" s="2"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39" customHeight="1" outlineLevel="3">
      <c r="A156" s="66"/>
      <c r="B156" s="20" t="s">
        <v>4</v>
      </c>
      <c r="C156" s="68"/>
      <c r="D156" s="2">
        <f>68381.46</f>
        <v>68381.46</v>
      </c>
      <c r="E156" s="2">
        <f>0</f>
        <v>0</v>
      </c>
      <c r="F156" s="2">
        <f>0</f>
        <v>0</v>
      </c>
      <c r="G156" s="2">
        <f>0</f>
        <v>0</v>
      </c>
      <c r="H156" s="2">
        <f>0</f>
        <v>0</v>
      </c>
      <c r="I156" s="2">
        <f>0</f>
        <v>0</v>
      </c>
      <c r="J156" s="2">
        <f>0</f>
        <v>0</v>
      </c>
      <c r="K156" s="2">
        <f>0</f>
        <v>0</v>
      </c>
      <c r="L156" s="2">
        <f>0</f>
        <v>0</v>
      </c>
      <c r="M156" s="2">
        <f>0</f>
        <v>0</v>
      </c>
      <c r="N156" s="2">
        <f>0</f>
        <v>0</v>
      </c>
      <c r="O156" s="2">
        <f>0</f>
        <v>0</v>
      </c>
    </row>
    <row r="157" spans="1:15" ht="12" outlineLevel="3">
      <c r="A157" s="60" t="s">
        <v>141</v>
      </c>
      <c r="B157" s="18" t="s">
        <v>2</v>
      </c>
      <c r="C157" s="62" t="s">
        <v>142</v>
      </c>
      <c r="D157" s="2">
        <v>30100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24" customHeight="1" outlineLevel="2">
      <c r="A158" s="66"/>
      <c r="B158" s="20" t="s">
        <v>4</v>
      </c>
      <c r="C158" s="68"/>
      <c r="D158" s="2">
        <f>95146</f>
        <v>95146</v>
      </c>
      <c r="E158" s="2">
        <f>0</f>
        <v>0</v>
      </c>
      <c r="F158" s="2">
        <f>0</f>
        <v>0</v>
      </c>
      <c r="G158" s="2">
        <f>0</f>
        <v>0</v>
      </c>
      <c r="H158" s="2">
        <f>0</f>
        <v>0</v>
      </c>
      <c r="I158" s="2">
        <f>0</f>
        <v>0</v>
      </c>
      <c r="J158" s="2">
        <f>0</f>
        <v>0</v>
      </c>
      <c r="K158" s="2">
        <f>0</f>
        <v>0</v>
      </c>
      <c r="L158" s="2">
        <f>0</f>
        <v>0</v>
      </c>
      <c r="M158" s="2">
        <f>0</f>
        <v>0</v>
      </c>
      <c r="N158" s="2">
        <f>0</f>
        <v>0</v>
      </c>
      <c r="O158" s="2">
        <f>0</f>
        <v>0</v>
      </c>
    </row>
    <row r="159" spans="1:15" ht="12" outlineLevel="2">
      <c r="A159" s="60" t="s">
        <v>143</v>
      </c>
      <c r="B159" s="18" t="s">
        <v>2</v>
      </c>
      <c r="C159" s="67" t="s">
        <v>144</v>
      </c>
      <c r="D159" s="2"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" outlineLevel="3">
      <c r="A160" s="66"/>
      <c r="B160" s="20" t="s">
        <v>4</v>
      </c>
      <c r="C160" s="68"/>
      <c r="D160" s="2">
        <f>42947</f>
        <v>42947</v>
      </c>
      <c r="E160" s="2">
        <f>0</f>
        <v>0</v>
      </c>
      <c r="F160" s="2">
        <f>0</f>
        <v>0</v>
      </c>
      <c r="G160" s="2">
        <f>0</f>
        <v>0</v>
      </c>
      <c r="H160" s="2">
        <f>0</f>
        <v>0</v>
      </c>
      <c r="I160" s="2">
        <f>0</f>
        <v>0</v>
      </c>
      <c r="J160" s="2">
        <f>0</f>
        <v>0</v>
      </c>
      <c r="K160" s="2">
        <f>0</f>
        <v>0</v>
      </c>
      <c r="L160" s="2">
        <f>0</f>
        <v>0</v>
      </c>
      <c r="M160" s="2">
        <f>0</f>
        <v>0</v>
      </c>
      <c r="N160" s="2">
        <f>0</f>
        <v>0</v>
      </c>
      <c r="O160" s="2">
        <f>0</f>
        <v>0</v>
      </c>
    </row>
    <row r="161" spans="1:15" ht="24" customHeight="1" outlineLevel="3">
      <c r="A161" s="60" t="s">
        <v>145</v>
      </c>
      <c r="B161" s="18" t="s">
        <v>2</v>
      </c>
      <c r="C161" s="67" t="s">
        <v>146</v>
      </c>
      <c r="D161" s="45" t="s">
        <v>179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7"/>
    </row>
    <row r="162" spans="1:15" ht="28.5" customHeight="1" outlineLevel="3">
      <c r="A162" s="66"/>
      <c r="B162" s="20" t="s">
        <v>4</v>
      </c>
      <c r="C162" s="69"/>
      <c r="D162" s="2">
        <f>95146</f>
        <v>95146</v>
      </c>
      <c r="E162" s="2">
        <f>0</f>
        <v>0</v>
      </c>
      <c r="F162" s="2">
        <f>0</f>
        <v>0</v>
      </c>
      <c r="G162" s="2">
        <f>0</f>
        <v>0</v>
      </c>
      <c r="H162" s="2">
        <f>0</f>
        <v>0</v>
      </c>
      <c r="I162" s="2">
        <f>0</f>
        <v>0</v>
      </c>
      <c r="J162" s="2">
        <f>0</f>
        <v>0</v>
      </c>
      <c r="K162" s="2">
        <f>0</f>
        <v>0</v>
      </c>
      <c r="L162" s="2">
        <f>0</f>
        <v>0</v>
      </c>
      <c r="M162" s="2">
        <f>0</f>
        <v>0</v>
      </c>
      <c r="N162" s="2">
        <f>0</f>
        <v>0</v>
      </c>
      <c r="O162" s="2">
        <f>0</f>
        <v>0</v>
      </c>
    </row>
    <row r="163" spans="1:15" ht="12" outlineLevel="3">
      <c r="A163" s="73">
        <v>13</v>
      </c>
      <c r="B163" s="18" t="s">
        <v>2</v>
      </c>
      <c r="C163" s="75" t="s">
        <v>147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" outlineLevel="1">
      <c r="A164" s="66"/>
      <c r="B164" s="20" t="s">
        <v>4</v>
      </c>
      <c r="C164" s="68"/>
      <c r="D164" s="7" t="s">
        <v>75</v>
      </c>
      <c r="E164" s="7" t="s">
        <v>75</v>
      </c>
      <c r="F164" s="7" t="s">
        <v>75</v>
      </c>
      <c r="G164" s="7" t="s">
        <v>75</v>
      </c>
      <c r="H164" s="7" t="s">
        <v>75</v>
      </c>
      <c r="I164" s="7" t="s">
        <v>75</v>
      </c>
      <c r="J164" s="7" t="s">
        <v>75</v>
      </c>
      <c r="K164" s="7" t="s">
        <v>75</v>
      </c>
      <c r="L164" s="7" t="s">
        <v>75</v>
      </c>
      <c r="M164" s="7" t="s">
        <v>75</v>
      </c>
      <c r="N164" s="7" t="s">
        <v>75</v>
      </c>
      <c r="O164" s="7" t="s">
        <v>75</v>
      </c>
    </row>
    <row r="165" spans="1:15" ht="24" customHeight="1" outlineLevel="1">
      <c r="A165" s="60" t="s">
        <v>148</v>
      </c>
      <c r="B165" s="18" t="s">
        <v>2</v>
      </c>
      <c r="C165" s="62" t="s">
        <v>149</v>
      </c>
      <c r="D165" s="41">
        <v>0</v>
      </c>
      <c r="E165" s="39">
        <f>0</f>
        <v>0</v>
      </c>
      <c r="F165" s="39">
        <f>0</f>
        <v>0</v>
      </c>
      <c r="G165" s="39">
        <f>0</f>
        <v>0</v>
      </c>
      <c r="H165" s="39">
        <f>0</f>
        <v>0</v>
      </c>
      <c r="I165" s="39">
        <f>0</f>
        <v>0</v>
      </c>
      <c r="J165" s="39">
        <f>0</f>
        <v>0</v>
      </c>
      <c r="K165" s="39">
        <f>0</f>
        <v>0</v>
      </c>
      <c r="L165" s="39">
        <f>0</f>
        <v>0</v>
      </c>
      <c r="M165" s="39">
        <f>0</f>
        <v>0</v>
      </c>
      <c r="N165" s="39">
        <f>0</f>
        <v>0</v>
      </c>
      <c r="O165" s="39">
        <f>0</f>
        <v>0</v>
      </c>
    </row>
    <row r="166" spans="1:15" ht="26.25" customHeight="1" outlineLevel="2">
      <c r="A166" s="66"/>
      <c r="B166" s="20" t="s">
        <v>4</v>
      </c>
      <c r="C166" s="68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</row>
    <row r="167" spans="1:15" ht="23.25" customHeight="1" outlineLevel="2">
      <c r="A167" s="60" t="s">
        <v>150</v>
      </c>
      <c r="B167" s="18" t="s">
        <v>2</v>
      </c>
      <c r="C167" s="62" t="s">
        <v>151</v>
      </c>
      <c r="D167" s="41">
        <v>0</v>
      </c>
      <c r="E167" s="39">
        <f>0</f>
        <v>0</v>
      </c>
      <c r="F167" s="39">
        <f>0</f>
        <v>0</v>
      </c>
      <c r="G167" s="39">
        <f>0</f>
        <v>0</v>
      </c>
      <c r="H167" s="39">
        <f>0</f>
        <v>0</v>
      </c>
      <c r="I167" s="39">
        <f>0</f>
        <v>0</v>
      </c>
      <c r="J167" s="39">
        <f>0</f>
        <v>0</v>
      </c>
      <c r="K167" s="39">
        <f>0</f>
        <v>0</v>
      </c>
      <c r="L167" s="39">
        <f>0</f>
        <v>0</v>
      </c>
      <c r="M167" s="39">
        <f>0</f>
        <v>0</v>
      </c>
      <c r="N167" s="39">
        <f>0</f>
        <v>0</v>
      </c>
      <c r="O167" s="39">
        <f>0</f>
        <v>0</v>
      </c>
    </row>
    <row r="168" spans="1:15" ht="25.5" customHeight="1" outlineLevel="2">
      <c r="A168" s="66"/>
      <c r="B168" s="20" t="s">
        <v>4</v>
      </c>
      <c r="C168" s="72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</row>
    <row r="169" spans="1:15" ht="15" customHeight="1" outlineLevel="2">
      <c r="A169" s="60" t="s">
        <v>152</v>
      </c>
      <c r="B169" s="18" t="s">
        <v>2</v>
      </c>
      <c r="C169" s="62" t="s">
        <v>153</v>
      </c>
      <c r="D169" s="41">
        <v>0</v>
      </c>
      <c r="E169" s="39">
        <f>0</f>
        <v>0</v>
      </c>
      <c r="F169" s="39">
        <f>0</f>
        <v>0</v>
      </c>
      <c r="G169" s="39">
        <f>0</f>
        <v>0</v>
      </c>
      <c r="H169" s="39">
        <f>0</f>
        <v>0</v>
      </c>
      <c r="I169" s="39">
        <f>0</f>
        <v>0</v>
      </c>
      <c r="J169" s="39">
        <f>0</f>
        <v>0</v>
      </c>
      <c r="K169" s="39">
        <f>0</f>
        <v>0</v>
      </c>
      <c r="L169" s="39">
        <f>0</f>
        <v>0</v>
      </c>
      <c r="M169" s="39">
        <f>0</f>
        <v>0</v>
      </c>
      <c r="N169" s="39">
        <f>0</f>
        <v>0</v>
      </c>
      <c r="O169" s="39">
        <f>0</f>
        <v>0</v>
      </c>
    </row>
    <row r="170" spans="1:15" ht="12" customHeight="1" outlineLevel="2">
      <c r="A170" s="66"/>
      <c r="B170" s="20" t="s">
        <v>4</v>
      </c>
      <c r="C170" s="72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</row>
    <row r="171" spans="1:15" ht="23.25" customHeight="1" outlineLevel="2">
      <c r="A171" s="60" t="s">
        <v>154</v>
      </c>
      <c r="B171" s="18" t="s">
        <v>2</v>
      </c>
      <c r="C171" s="62" t="s">
        <v>155</v>
      </c>
      <c r="D171" s="41">
        <v>0</v>
      </c>
      <c r="E171" s="39">
        <f>0</f>
        <v>0</v>
      </c>
      <c r="F171" s="39">
        <f>0</f>
        <v>0</v>
      </c>
      <c r="G171" s="39">
        <f>0</f>
        <v>0</v>
      </c>
      <c r="H171" s="39">
        <f>0</f>
        <v>0</v>
      </c>
      <c r="I171" s="39">
        <f>0</f>
        <v>0</v>
      </c>
      <c r="J171" s="39">
        <f>0</f>
        <v>0</v>
      </c>
      <c r="K171" s="39">
        <f>0</f>
        <v>0</v>
      </c>
      <c r="L171" s="39">
        <f>0</f>
        <v>0</v>
      </c>
      <c r="M171" s="39">
        <f>0</f>
        <v>0</v>
      </c>
      <c r="N171" s="39">
        <f>0</f>
        <v>0</v>
      </c>
      <c r="O171" s="39">
        <f>0</f>
        <v>0</v>
      </c>
    </row>
    <row r="172" spans="1:15" ht="26.25" customHeight="1" outlineLevel="2">
      <c r="A172" s="66"/>
      <c r="B172" s="20" t="s">
        <v>4</v>
      </c>
      <c r="C172" s="72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</row>
    <row r="173" spans="1:15" ht="24.75" customHeight="1" outlineLevel="2">
      <c r="A173" s="60" t="s">
        <v>156</v>
      </c>
      <c r="B173" s="18" t="s">
        <v>2</v>
      </c>
      <c r="C173" s="62" t="s">
        <v>157</v>
      </c>
      <c r="D173" s="41">
        <v>0</v>
      </c>
      <c r="E173" s="39">
        <f>0</f>
        <v>0</v>
      </c>
      <c r="F173" s="39">
        <f>0</f>
        <v>0</v>
      </c>
      <c r="G173" s="39">
        <f>0</f>
        <v>0</v>
      </c>
      <c r="H173" s="39">
        <f>0</f>
        <v>0</v>
      </c>
      <c r="I173" s="39">
        <f>0</f>
        <v>0</v>
      </c>
      <c r="J173" s="39">
        <f>0</f>
        <v>0</v>
      </c>
      <c r="K173" s="39">
        <f>0</f>
        <v>0</v>
      </c>
      <c r="L173" s="39">
        <f>0</f>
        <v>0</v>
      </c>
      <c r="M173" s="39">
        <f>0</f>
        <v>0</v>
      </c>
      <c r="N173" s="39">
        <f>0</f>
        <v>0</v>
      </c>
      <c r="O173" s="39">
        <f>0</f>
        <v>0</v>
      </c>
    </row>
    <row r="174" spans="1:15" ht="26.25" customHeight="1" outlineLevel="2">
      <c r="A174" s="66"/>
      <c r="B174" s="20" t="s">
        <v>4</v>
      </c>
      <c r="C174" s="72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</row>
    <row r="175" spans="1:15" ht="27" customHeight="1" outlineLevel="2">
      <c r="A175" s="60" t="s">
        <v>158</v>
      </c>
      <c r="B175" s="18" t="s">
        <v>2</v>
      </c>
      <c r="C175" s="62" t="s">
        <v>159</v>
      </c>
      <c r="D175" s="41">
        <v>0</v>
      </c>
      <c r="E175" s="39">
        <f>0</f>
        <v>0</v>
      </c>
      <c r="F175" s="39">
        <f>0</f>
        <v>0</v>
      </c>
      <c r="G175" s="39">
        <f>0</f>
        <v>0</v>
      </c>
      <c r="H175" s="39">
        <f>0</f>
        <v>0</v>
      </c>
      <c r="I175" s="39">
        <f>0</f>
        <v>0</v>
      </c>
      <c r="J175" s="39">
        <f>0</f>
        <v>0</v>
      </c>
      <c r="K175" s="39">
        <f>0</f>
        <v>0</v>
      </c>
      <c r="L175" s="39">
        <f>0</f>
        <v>0</v>
      </c>
      <c r="M175" s="39">
        <f>0</f>
        <v>0</v>
      </c>
      <c r="N175" s="39">
        <f>0</f>
        <v>0</v>
      </c>
      <c r="O175" s="39">
        <f>0</f>
        <v>0</v>
      </c>
    </row>
    <row r="176" spans="1:15" ht="18.75" customHeight="1" outlineLevel="2">
      <c r="A176" s="66"/>
      <c r="B176" s="20" t="s">
        <v>4</v>
      </c>
      <c r="C176" s="72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1:15" ht="20.25" customHeight="1" outlineLevel="2">
      <c r="A177" s="60" t="s">
        <v>160</v>
      </c>
      <c r="B177" s="18" t="s">
        <v>2</v>
      </c>
      <c r="C177" s="62" t="s">
        <v>161</v>
      </c>
      <c r="D177" s="41">
        <v>0</v>
      </c>
      <c r="E177" s="39">
        <f>0</f>
        <v>0</v>
      </c>
      <c r="F177" s="39">
        <f>0</f>
        <v>0</v>
      </c>
      <c r="G177" s="39">
        <f>0</f>
        <v>0</v>
      </c>
      <c r="H177" s="39">
        <f>0</f>
        <v>0</v>
      </c>
      <c r="I177" s="39">
        <f>0</f>
        <v>0</v>
      </c>
      <c r="J177" s="39">
        <f>0</f>
        <v>0</v>
      </c>
      <c r="K177" s="39">
        <f>0</f>
        <v>0</v>
      </c>
      <c r="L177" s="39">
        <f>0</f>
        <v>0</v>
      </c>
      <c r="M177" s="39">
        <f>0</f>
        <v>0</v>
      </c>
      <c r="N177" s="39">
        <f>0</f>
        <v>0</v>
      </c>
      <c r="O177" s="39">
        <f>0</f>
        <v>0</v>
      </c>
    </row>
    <row r="178" spans="1:15" ht="19.5" customHeight="1" outlineLevel="2">
      <c r="A178" s="66"/>
      <c r="B178" s="20" t="s">
        <v>4</v>
      </c>
      <c r="C178" s="72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1:15" ht="12" outlineLevel="2">
      <c r="A179" s="73">
        <v>14</v>
      </c>
      <c r="B179" s="18" t="s">
        <v>2</v>
      </c>
      <c r="C179" s="74" t="s">
        <v>162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" outlineLevel="1">
      <c r="A180" s="66"/>
      <c r="B180" s="20" t="s">
        <v>4</v>
      </c>
      <c r="C180" s="71"/>
      <c r="D180" s="7" t="s">
        <v>75</v>
      </c>
      <c r="E180" s="7" t="s">
        <v>75</v>
      </c>
      <c r="F180" s="7" t="s">
        <v>75</v>
      </c>
      <c r="G180" s="7" t="s">
        <v>75</v>
      </c>
      <c r="H180" s="7" t="s">
        <v>75</v>
      </c>
      <c r="I180" s="7" t="s">
        <v>75</v>
      </c>
      <c r="J180" s="7" t="s">
        <v>75</v>
      </c>
      <c r="K180" s="7" t="s">
        <v>75</v>
      </c>
      <c r="L180" s="7" t="s">
        <v>75</v>
      </c>
      <c r="M180" s="7" t="s">
        <v>75</v>
      </c>
      <c r="N180" s="7" t="s">
        <v>75</v>
      </c>
      <c r="O180" s="7" t="s">
        <v>75</v>
      </c>
    </row>
    <row r="181" spans="1:15" ht="15" outlineLevel="1">
      <c r="A181" s="60" t="s">
        <v>163</v>
      </c>
      <c r="B181" s="18" t="s">
        <v>2</v>
      </c>
      <c r="C181" s="70" t="s">
        <v>164</v>
      </c>
      <c r="D181" s="45" t="s">
        <v>179</v>
      </c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7"/>
    </row>
    <row r="182" spans="1:15" ht="33" customHeight="1" outlineLevel="2">
      <c r="A182" s="66"/>
      <c r="B182" s="20" t="s">
        <v>4</v>
      </c>
      <c r="C182" s="71"/>
      <c r="D182" s="2">
        <f>835135</f>
        <v>835135</v>
      </c>
      <c r="E182" s="2">
        <f>835135</f>
        <v>835135</v>
      </c>
      <c r="F182" s="2">
        <f>835135</f>
        <v>835135</v>
      </c>
      <c r="G182" s="2">
        <f>835135</f>
        <v>835135</v>
      </c>
      <c r="H182" s="2">
        <f>835135</f>
        <v>835135</v>
      </c>
      <c r="I182" s="2">
        <f>785515</f>
        <v>785515</v>
      </c>
      <c r="J182" s="2">
        <f>695551</f>
        <v>695551</v>
      </c>
      <c r="K182" s="2">
        <f>501551</f>
        <v>501551</v>
      </c>
      <c r="L182" s="2">
        <f>501551</f>
        <v>501551</v>
      </c>
      <c r="M182" s="2">
        <f>501551</f>
        <v>501551</v>
      </c>
      <c r="N182" s="2">
        <f>454151</f>
        <v>454151</v>
      </c>
      <c r="O182" s="2">
        <f>239050</f>
        <v>239050</v>
      </c>
    </row>
    <row r="183" spans="1:15" ht="12" outlineLevel="2">
      <c r="A183" s="60" t="s">
        <v>165</v>
      </c>
      <c r="B183" s="18" t="s">
        <v>2</v>
      </c>
      <c r="C183" s="62" t="s">
        <v>166</v>
      </c>
      <c r="D183" s="41">
        <v>0</v>
      </c>
      <c r="E183" s="39">
        <f>0</f>
        <v>0</v>
      </c>
      <c r="F183" s="39">
        <f>0</f>
        <v>0</v>
      </c>
      <c r="G183" s="39">
        <f>0</f>
        <v>0</v>
      </c>
      <c r="H183" s="39">
        <f>0</f>
        <v>0</v>
      </c>
      <c r="I183" s="39">
        <f>0</f>
        <v>0</v>
      </c>
      <c r="J183" s="39">
        <f>0</f>
        <v>0</v>
      </c>
      <c r="K183" s="39">
        <f>0</f>
        <v>0</v>
      </c>
      <c r="L183" s="39">
        <f>0</f>
        <v>0</v>
      </c>
      <c r="M183" s="39">
        <f>0</f>
        <v>0</v>
      </c>
      <c r="N183" s="39">
        <f>0</f>
        <v>0</v>
      </c>
      <c r="O183" s="39">
        <f>0</f>
        <v>0</v>
      </c>
    </row>
    <row r="184" spans="1:15" ht="12" outlineLevel="2">
      <c r="A184" s="66"/>
      <c r="B184" s="20" t="s">
        <v>4</v>
      </c>
      <c r="C184" s="72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</row>
    <row r="185" spans="1:15" ht="12" outlineLevel="2">
      <c r="A185" s="60" t="s">
        <v>167</v>
      </c>
      <c r="B185" s="18" t="s">
        <v>2</v>
      </c>
      <c r="C185" s="62" t="s">
        <v>168</v>
      </c>
      <c r="D185" s="41">
        <v>0</v>
      </c>
      <c r="E185" s="39">
        <f>0</f>
        <v>0</v>
      </c>
      <c r="F185" s="39">
        <f>0</f>
        <v>0</v>
      </c>
      <c r="G185" s="39">
        <f>0</f>
        <v>0</v>
      </c>
      <c r="H185" s="39">
        <f>0</f>
        <v>0</v>
      </c>
      <c r="I185" s="39">
        <f>0</f>
        <v>0</v>
      </c>
      <c r="J185" s="39">
        <f>0</f>
        <v>0</v>
      </c>
      <c r="K185" s="39">
        <f>0</f>
        <v>0</v>
      </c>
      <c r="L185" s="39">
        <f>0</f>
        <v>0</v>
      </c>
      <c r="M185" s="39">
        <f>0</f>
        <v>0</v>
      </c>
      <c r="N185" s="39">
        <f>0</f>
        <v>0</v>
      </c>
      <c r="O185" s="39">
        <f>0</f>
        <v>0</v>
      </c>
    </row>
    <row r="186" spans="1:15" ht="12" outlineLevel="2">
      <c r="A186" s="66"/>
      <c r="B186" s="20" t="s">
        <v>4</v>
      </c>
      <c r="C186" s="72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1:15" ht="12" outlineLevel="2">
      <c r="A187" s="60" t="s">
        <v>169</v>
      </c>
      <c r="B187" s="18" t="s">
        <v>2</v>
      </c>
      <c r="C187" s="67" t="s">
        <v>170</v>
      </c>
      <c r="D187" s="41">
        <v>0</v>
      </c>
      <c r="E187" s="39">
        <f>0</f>
        <v>0</v>
      </c>
      <c r="F187" s="39">
        <f>0</f>
        <v>0</v>
      </c>
      <c r="G187" s="39">
        <f>0</f>
        <v>0</v>
      </c>
      <c r="H187" s="39">
        <f>0</f>
        <v>0</v>
      </c>
      <c r="I187" s="39">
        <f>0</f>
        <v>0</v>
      </c>
      <c r="J187" s="39">
        <f>0</f>
        <v>0</v>
      </c>
      <c r="K187" s="39">
        <f>0</f>
        <v>0</v>
      </c>
      <c r="L187" s="39">
        <f>0</f>
        <v>0</v>
      </c>
      <c r="M187" s="39">
        <f>0</f>
        <v>0</v>
      </c>
      <c r="N187" s="39">
        <f>0</f>
        <v>0</v>
      </c>
      <c r="O187" s="39">
        <f>0</f>
        <v>0</v>
      </c>
    </row>
    <row r="188" spans="1:15" ht="12" outlineLevel="3">
      <c r="A188" s="66"/>
      <c r="B188" s="20" t="s">
        <v>4</v>
      </c>
      <c r="C188" s="68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</row>
    <row r="189" spans="1:15" ht="12" outlineLevel="3">
      <c r="A189" s="60" t="s">
        <v>171</v>
      </c>
      <c r="B189" s="18" t="s">
        <v>2</v>
      </c>
      <c r="C189" s="67" t="s">
        <v>172</v>
      </c>
      <c r="D189" s="41">
        <v>0</v>
      </c>
      <c r="E189" s="39">
        <f>0</f>
        <v>0</v>
      </c>
      <c r="F189" s="39">
        <f>0</f>
        <v>0</v>
      </c>
      <c r="G189" s="39">
        <f>0</f>
        <v>0</v>
      </c>
      <c r="H189" s="39">
        <f>0</f>
        <v>0</v>
      </c>
      <c r="I189" s="39">
        <f>0</f>
        <v>0</v>
      </c>
      <c r="J189" s="39">
        <f>0</f>
        <v>0</v>
      </c>
      <c r="K189" s="39">
        <f>0</f>
        <v>0</v>
      </c>
      <c r="L189" s="39">
        <f>0</f>
        <v>0</v>
      </c>
      <c r="M189" s="39">
        <f>0</f>
        <v>0</v>
      </c>
      <c r="N189" s="39">
        <f>0</f>
        <v>0</v>
      </c>
      <c r="O189" s="39">
        <f>0</f>
        <v>0</v>
      </c>
    </row>
    <row r="190" spans="1:15" ht="12" outlineLevel="3">
      <c r="A190" s="66"/>
      <c r="B190" s="20" t="s">
        <v>4</v>
      </c>
      <c r="C190" s="69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</row>
    <row r="191" spans="1:15" ht="12" outlineLevel="3">
      <c r="A191" s="60" t="s">
        <v>173</v>
      </c>
      <c r="B191" s="18" t="s">
        <v>2</v>
      </c>
      <c r="C191" s="67" t="s">
        <v>174</v>
      </c>
      <c r="D191" s="41">
        <v>0</v>
      </c>
      <c r="E191" s="39">
        <f>0</f>
        <v>0</v>
      </c>
      <c r="F191" s="39">
        <f>0</f>
        <v>0</v>
      </c>
      <c r="G191" s="39">
        <f>0</f>
        <v>0</v>
      </c>
      <c r="H191" s="39">
        <f>0</f>
        <v>0</v>
      </c>
      <c r="I191" s="39">
        <f>0</f>
        <v>0</v>
      </c>
      <c r="J191" s="39">
        <f>0</f>
        <v>0</v>
      </c>
      <c r="K191" s="39">
        <f>0</f>
        <v>0</v>
      </c>
      <c r="L191" s="39">
        <f>0</f>
        <v>0</v>
      </c>
      <c r="M191" s="39">
        <f>0</f>
        <v>0</v>
      </c>
      <c r="N191" s="39">
        <f>0</f>
        <v>0</v>
      </c>
      <c r="O191" s="39">
        <f>0</f>
        <v>0</v>
      </c>
    </row>
    <row r="192" spans="1:15" ht="12" outlineLevel="3">
      <c r="A192" s="66"/>
      <c r="B192" s="20" t="s">
        <v>4</v>
      </c>
      <c r="C192" s="69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</row>
    <row r="193" spans="1:15" ht="12" outlineLevel="3">
      <c r="A193" s="60" t="s">
        <v>175</v>
      </c>
      <c r="B193" s="18" t="s">
        <v>2</v>
      </c>
      <c r="C193" s="62" t="s">
        <v>176</v>
      </c>
      <c r="D193" s="41">
        <v>0</v>
      </c>
      <c r="E193" s="39">
        <f>0</f>
        <v>0</v>
      </c>
      <c r="F193" s="39">
        <f>0</f>
        <v>0</v>
      </c>
      <c r="G193" s="39">
        <f>0</f>
        <v>0</v>
      </c>
      <c r="H193" s="39">
        <f>0</f>
        <v>0</v>
      </c>
      <c r="I193" s="39">
        <f>0</f>
        <v>0</v>
      </c>
      <c r="J193" s="39">
        <f>0</f>
        <v>0</v>
      </c>
      <c r="K193" s="39">
        <f>0</f>
        <v>0</v>
      </c>
      <c r="L193" s="39">
        <f>0</f>
        <v>0</v>
      </c>
      <c r="M193" s="39">
        <f>0</f>
        <v>0</v>
      </c>
      <c r="N193" s="39">
        <f>0</f>
        <v>0</v>
      </c>
      <c r="O193" s="39">
        <f>0</f>
        <v>0</v>
      </c>
    </row>
    <row r="194" spans="1:15" ht="12" outlineLevel="2">
      <c r="A194" s="61"/>
      <c r="B194" s="20" t="s">
        <v>4</v>
      </c>
      <c r="C194" s="63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</row>
  </sheetData>
  <sheetProtection/>
  <mergeCells count="563"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A5:A6"/>
    <mergeCell ref="C5:C6"/>
    <mergeCell ref="A7:A8"/>
    <mergeCell ref="C7:C8"/>
    <mergeCell ref="A9:A10"/>
    <mergeCell ref="C9:C10"/>
    <mergeCell ref="D101:D102"/>
    <mergeCell ref="E101:E102"/>
    <mergeCell ref="F101:F102"/>
    <mergeCell ref="A17:A18"/>
    <mergeCell ref="C17:C18"/>
    <mergeCell ref="A19:A20"/>
    <mergeCell ref="C19:C20"/>
    <mergeCell ref="A21:A22"/>
    <mergeCell ref="C21:C22"/>
    <mergeCell ref="A11:A12"/>
    <mergeCell ref="C11:C12"/>
    <mergeCell ref="A13:A14"/>
    <mergeCell ref="C13:C14"/>
    <mergeCell ref="A15:A16"/>
    <mergeCell ref="C15:C16"/>
    <mergeCell ref="A29:A30"/>
    <mergeCell ref="C29:C30"/>
    <mergeCell ref="A31:A32"/>
    <mergeCell ref="C31:C32"/>
    <mergeCell ref="A33:A34"/>
    <mergeCell ref="C33:C34"/>
    <mergeCell ref="A23:A24"/>
    <mergeCell ref="C23:C24"/>
    <mergeCell ref="A25:A26"/>
    <mergeCell ref="C25:C26"/>
    <mergeCell ref="A27:A28"/>
    <mergeCell ref="C27:C28"/>
    <mergeCell ref="A41:A42"/>
    <mergeCell ref="C41:C42"/>
    <mergeCell ref="A43:A44"/>
    <mergeCell ref="C43:C44"/>
    <mergeCell ref="A45:A46"/>
    <mergeCell ref="C45:C46"/>
    <mergeCell ref="A35:A36"/>
    <mergeCell ref="C35:C36"/>
    <mergeCell ref="A37:A38"/>
    <mergeCell ref="C37:C38"/>
    <mergeCell ref="A39:A40"/>
    <mergeCell ref="C39:C40"/>
    <mergeCell ref="A53:A54"/>
    <mergeCell ref="C53:C54"/>
    <mergeCell ref="A55:A56"/>
    <mergeCell ref="C55:C56"/>
    <mergeCell ref="A57:A58"/>
    <mergeCell ref="C57:C58"/>
    <mergeCell ref="A47:A48"/>
    <mergeCell ref="C47:C48"/>
    <mergeCell ref="A49:A50"/>
    <mergeCell ref="C49:C50"/>
    <mergeCell ref="A51:A52"/>
    <mergeCell ref="C51:C52"/>
    <mergeCell ref="A65:A66"/>
    <mergeCell ref="C65:C66"/>
    <mergeCell ref="A67:A68"/>
    <mergeCell ref="C67:C68"/>
    <mergeCell ref="A69:A70"/>
    <mergeCell ref="C69:C70"/>
    <mergeCell ref="A59:A60"/>
    <mergeCell ref="C59:C60"/>
    <mergeCell ref="A61:A62"/>
    <mergeCell ref="C61:C62"/>
    <mergeCell ref="A63:A64"/>
    <mergeCell ref="C63:C64"/>
    <mergeCell ref="A77:A78"/>
    <mergeCell ref="C77:C78"/>
    <mergeCell ref="A79:A80"/>
    <mergeCell ref="C79:C80"/>
    <mergeCell ref="C81:C82"/>
    <mergeCell ref="A83:A84"/>
    <mergeCell ref="C83:C84"/>
    <mergeCell ref="A71:A72"/>
    <mergeCell ref="C71:C72"/>
    <mergeCell ref="A73:A74"/>
    <mergeCell ref="C73:C74"/>
    <mergeCell ref="A75:A76"/>
    <mergeCell ref="C75:C76"/>
    <mergeCell ref="A91:A92"/>
    <mergeCell ref="C91:C92"/>
    <mergeCell ref="A93:A94"/>
    <mergeCell ref="C93:C94"/>
    <mergeCell ref="A95:A96"/>
    <mergeCell ref="C95:C96"/>
    <mergeCell ref="A85:A86"/>
    <mergeCell ref="C85:C86"/>
    <mergeCell ref="A87:A88"/>
    <mergeCell ref="C87:C88"/>
    <mergeCell ref="A89:A90"/>
    <mergeCell ref="C89:C90"/>
    <mergeCell ref="A103:A104"/>
    <mergeCell ref="C103:C104"/>
    <mergeCell ref="A105:A106"/>
    <mergeCell ref="C105:C106"/>
    <mergeCell ref="A107:A108"/>
    <mergeCell ref="C107:C108"/>
    <mergeCell ref="A97:A98"/>
    <mergeCell ref="C97:C98"/>
    <mergeCell ref="A99:A100"/>
    <mergeCell ref="C99:C100"/>
    <mergeCell ref="A101:A102"/>
    <mergeCell ref="C101:C102"/>
    <mergeCell ref="A115:A116"/>
    <mergeCell ref="C115:C116"/>
    <mergeCell ref="A117:A118"/>
    <mergeCell ref="C117:C118"/>
    <mergeCell ref="A119:A120"/>
    <mergeCell ref="C119:C120"/>
    <mergeCell ref="A109:A110"/>
    <mergeCell ref="C109:C110"/>
    <mergeCell ref="A111:A112"/>
    <mergeCell ref="C111:C112"/>
    <mergeCell ref="A113:A114"/>
    <mergeCell ref="C113:C114"/>
    <mergeCell ref="A127:A128"/>
    <mergeCell ref="C127:C128"/>
    <mergeCell ref="A129:A130"/>
    <mergeCell ref="C129:C130"/>
    <mergeCell ref="A131:A132"/>
    <mergeCell ref="C131:C132"/>
    <mergeCell ref="A121:A122"/>
    <mergeCell ref="C121:C122"/>
    <mergeCell ref="A123:A124"/>
    <mergeCell ref="C123:C124"/>
    <mergeCell ref="A125:A126"/>
    <mergeCell ref="C125:C126"/>
    <mergeCell ref="A139:A140"/>
    <mergeCell ref="C139:C140"/>
    <mergeCell ref="A141:A142"/>
    <mergeCell ref="C141:C142"/>
    <mergeCell ref="A143:A144"/>
    <mergeCell ref="C143:C144"/>
    <mergeCell ref="A133:A134"/>
    <mergeCell ref="C133:C134"/>
    <mergeCell ref="A135:A136"/>
    <mergeCell ref="C135:C136"/>
    <mergeCell ref="A137:A138"/>
    <mergeCell ref="C137:C138"/>
    <mergeCell ref="A151:A152"/>
    <mergeCell ref="C151:C152"/>
    <mergeCell ref="A153:A154"/>
    <mergeCell ref="C153:C154"/>
    <mergeCell ref="A155:A156"/>
    <mergeCell ref="C155:C156"/>
    <mergeCell ref="A145:A146"/>
    <mergeCell ref="C145:C146"/>
    <mergeCell ref="A147:A148"/>
    <mergeCell ref="C147:C148"/>
    <mergeCell ref="A149:A150"/>
    <mergeCell ref="C149:C150"/>
    <mergeCell ref="A163:A164"/>
    <mergeCell ref="C163:C164"/>
    <mergeCell ref="A165:A166"/>
    <mergeCell ref="C165:C166"/>
    <mergeCell ref="A167:A168"/>
    <mergeCell ref="C167:C168"/>
    <mergeCell ref="A157:A158"/>
    <mergeCell ref="C157:C158"/>
    <mergeCell ref="A159:A160"/>
    <mergeCell ref="C159:C160"/>
    <mergeCell ref="A161:A162"/>
    <mergeCell ref="C161:C162"/>
    <mergeCell ref="C177:C178"/>
    <mergeCell ref="A179:A180"/>
    <mergeCell ref="C179:C180"/>
    <mergeCell ref="A169:A170"/>
    <mergeCell ref="C169:C170"/>
    <mergeCell ref="A171:A172"/>
    <mergeCell ref="C171:C172"/>
    <mergeCell ref="A173:A174"/>
    <mergeCell ref="C173:C174"/>
    <mergeCell ref="A193:A194"/>
    <mergeCell ref="C193:C194"/>
    <mergeCell ref="D9:O9"/>
    <mergeCell ref="D11:O11"/>
    <mergeCell ref="D13:O13"/>
    <mergeCell ref="D15:O15"/>
    <mergeCell ref="D17:O17"/>
    <mergeCell ref="D19:O19"/>
    <mergeCell ref="J41:J42"/>
    <mergeCell ref="A187:A188"/>
    <mergeCell ref="C187:C188"/>
    <mergeCell ref="A189:A190"/>
    <mergeCell ref="C189:C190"/>
    <mergeCell ref="A191:A192"/>
    <mergeCell ref="C191:C192"/>
    <mergeCell ref="A181:A182"/>
    <mergeCell ref="C181:C182"/>
    <mergeCell ref="A183:A184"/>
    <mergeCell ref="C183:C184"/>
    <mergeCell ref="A185:A186"/>
    <mergeCell ref="C185:C186"/>
    <mergeCell ref="A175:A176"/>
    <mergeCell ref="C175:C176"/>
    <mergeCell ref="A177:A178"/>
    <mergeCell ref="M5:M6"/>
    <mergeCell ref="N5:N6"/>
    <mergeCell ref="O5:O6"/>
    <mergeCell ref="F7:F8"/>
    <mergeCell ref="G7:G8"/>
    <mergeCell ref="H7:H8"/>
    <mergeCell ref="I7:I8"/>
    <mergeCell ref="J7:J8"/>
    <mergeCell ref="K7:K8"/>
    <mergeCell ref="L7:L8"/>
    <mergeCell ref="G5:G6"/>
    <mergeCell ref="H5:H6"/>
    <mergeCell ref="I5:I6"/>
    <mergeCell ref="J5:J6"/>
    <mergeCell ref="K5:K6"/>
    <mergeCell ref="L5:L6"/>
    <mergeCell ref="M7:M8"/>
    <mergeCell ref="N7:N8"/>
    <mergeCell ref="M33:M34"/>
    <mergeCell ref="N33:N34"/>
    <mergeCell ref="M35:M36"/>
    <mergeCell ref="N35:N36"/>
    <mergeCell ref="O7:O8"/>
    <mergeCell ref="E37:E38"/>
    <mergeCell ref="F37:F38"/>
    <mergeCell ref="O33:O34"/>
    <mergeCell ref="O35:O36"/>
    <mergeCell ref="J63:J64"/>
    <mergeCell ref="I63:I64"/>
    <mergeCell ref="H63:H64"/>
    <mergeCell ref="G63:G64"/>
    <mergeCell ref="E63:E64"/>
    <mergeCell ref="E65:E66"/>
    <mergeCell ref="J65:J66"/>
    <mergeCell ref="I65:I66"/>
    <mergeCell ref="H65:H66"/>
    <mergeCell ref="G65:G66"/>
    <mergeCell ref="N89:N90"/>
    <mergeCell ref="O89:O90"/>
    <mergeCell ref="M87:M88"/>
    <mergeCell ref="N87:N88"/>
    <mergeCell ref="O87:O88"/>
    <mergeCell ref="G89:G90"/>
    <mergeCell ref="H89:H90"/>
    <mergeCell ref="I89:I90"/>
    <mergeCell ref="J89:J90"/>
    <mergeCell ref="K89:K90"/>
    <mergeCell ref="L89:L90"/>
    <mergeCell ref="M89:M90"/>
    <mergeCell ref="G87:G88"/>
    <mergeCell ref="H87:H88"/>
    <mergeCell ref="I87:I88"/>
    <mergeCell ref="J87:J88"/>
    <mergeCell ref="K87:K88"/>
    <mergeCell ref="L87:L88"/>
    <mergeCell ref="D109:O109"/>
    <mergeCell ref="D131:O131"/>
    <mergeCell ref="D133:O133"/>
    <mergeCell ref="D135:O135"/>
    <mergeCell ref="D143:O143"/>
    <mergeCell ref="D149:O149"/>
    <mergeCell ref="D161:O161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M167:M168"/>
    <mergeCell ref="N167:N168"/>
    <mergeCell ref="O167:O168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71:M172"/>
    <mergeCell ref="N171:N172"/>
    <mergeCell ref="O171:O172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5:M176"/>
    <mergeCell ref="N175:N176"/>
    <mergeCell ref="O175:O176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D181:O181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M185:M186"/>
    <mergeCell ref="N185:N186"/>
    <mergeCell ref="O185:O186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9:M190"/>
    <mergeCell ref="N189:N190"/>
    <mergeCell ref="O189:O190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L47:L48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I41:I42"/>
    <mergeCell ref="H41:H42"/>
    <mergeCell ref="G41:G42"/>
    <mergeCell ref="J43:J44"/>
    <mergeCell ref="I43:I44"/>
    <mergeCell ref="H43:H44"/>
    <mergeCell ref="G43:G44"/>
    <mergeCell ref="E39:E40"/>
    <mergeCell ref="F39:F40"/>
    <mergeCell ref="L53:L54"/>
    <mergeCell ref="M47:M48"/>
    <mergeCell ref="N47:N48"/>
    <mergeCell ref="O47:O48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D47:D48"/>
    <mergeCell ref="E47:E48"/>
    <mergeCell ref="F47:F48"/>
    <mergeCell ref="G47:G48"/>
    <mergeCell ref="H47:H48"/>
    <mergeCell ref="I47:I48"/>
    <mergeCell ref="J47:J48"/>
    <mergeCell ref="K47:K48"/>
    <mergeCell ref="L61:L62"/>
    <mergeCell ref="M53:M54"/>
    <mergeCell ref="N53:N54"/>
    <mergeCell ref="O53:O54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D53:D54"/>
    <mergeCell ref="E53:E54"/>
    <mergeCell ref="F53:F54"/>
    <mergeCell ref="G53:G54"/>
    <mergeCell ref="H53:H54"/>
    <mergeCell ref="I53:I54"/>
    <mergeCell ref="J53:J54"/>
    <mergeCell ref="K53:K54"/>
    <mergeCell ref="L75:L76"/>
    <mergeCell ref="M61:M62"/>
    <mergeCell ref="N61:N62"/>
    <mergeCell ref="O61:O6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D61:D62"/>
    <mergeCell ref="E61:E62"/>
    <mergeCell ref="F61:F62"/>
    <mergeCell ref="G61:G62"/>
    <mergeCell ref="H61:H62"/>
    <mergeCell ref="I61:I62"/>
    <mergeCell ref="J61:J62"/>
    <mergeCell ref="K61:K62"/>
    <mergeCell ref="A1:O2"/>
    <mergeCell ref="M75:M76"/>
    <mergeCell ref="N75:N76"/>
    <mergeCell ref="O75:O76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D75:D76"/>
    <mergeCell ref="E75:E76"/>
    <mergeCell ref="F75:F76"/>
    <mergeCell ref="G75:G76"/>
    <mergeCell ref="H75:H76"/>
    <mergeCell ref="I75:I76"/>
    <mergeCell ref="J75:J76"/>
    <mergeCell ref="K75:K76"/>
  </mergeCells>
  <conditionalFormatting sqref="D112:O115">
    <cfRule type="expression" priority="3" dxfId="3" stopIfTrue="1">
      <formula>LEFT(D112,3)="Nie"</formula>
    </cfRule>
  </conditionalFormatting>
  <conditionalFormatting sqref="D111:O111">
    <cfRule type="expression" priority="2" dxfId="3" stopIfTrue="1">
      <formula>LEFT(D111,3)="Nie"</formula>
    </cfRule>
  </conditionalFormatting>
  <conditionalFormatting sqref="D117:O117">
    <cfRule type="expression" priority="1" dxfId="3" stopIfTrue="1">
      <formula>LEFT(D117,3)="Nie"</formula>
    </cfRule>
  </conditionalFormatting>
  <printOptions/>
  <pageMargins left="0.23" right="0.19" top="0.62" bottom="0.46" header="0.31496062992125984" footer="0.31496062992125984"/>
  <pageSetup horizontalDpi="600" verticalDpi="600" orientation="landscape" paperSize="9" scale="85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2013-09-17T07:05:52Z</dcterms:modified>
  <cp:category/>
  <cp:version/>
  <cp:contentType/>
  <cp:contentStatus/>
</cp:coreProperties>
</file>