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144" i="1"/>
  <c r="E144" s="1"/>
  <c r="F144" s="1"/>
  <c r="G144" s="1"/>
  <c r="H144" s="1"/>
  <c r="I144" s="1"/>
  <c r="J144" s="1"/>
  <c r="K144" s="1"/>
  <c r="L144" s="1"/>
  <c r="M144" s="1"/>
  <c r="E122"/>
  <c r="F122" s="1"/>
  <c r="G122" s="1"/>
  <c r="H122" s="1"/>
  <c r="I122" s="1"/>
  <c r="J122" s="1"/>
  <c r="K122" s="1"/>
  <c r="L122" s="1"/>
  <c r="M122" s="1"/>
  <c r="D122"/>
  <c r="D87"/>
  <c r="E87" s="1"/>
  <c r="F87" s="1"/>
  <c r="G87" s="1"/>
  <c r="H87" s="1"/>
  <c r="I87" s="1"/>
  <c r="J87" s="1"/>
  <c r="K87" s="1"/>
  <c r="L87" s="1"/>
  <c r="M87" s="1"/>
  <c r="D67"/>
  <c r="E67" s="1"/>
  <c r="F67" s="1"/>
  <c r="G67" s="1"/>
  <c r="H67" s="1"/>
  <c r="I67" s="1"/>
  <c r="J67" s="1"/>
  <c r="K67" s="1"/>
  <c r="L67" s="1"/>
  <c r="M67" s="1"/>
  <c r="D33"/>
  <c r="E33" s="1"/>
  <c r="F33" s="1"/>
  <c r="G33" s="1"/>
  <c r="H33" s="1"/>
  <c r="I33" s="1"/>
  <c r="J33" s="1"/>
  <c r="K33" s="1"/>
  <c r="L33" s="1"/>
  <c r="M33" s="1"/>
  <c r="M158"/>
  <c r="L158"/>
  <c r="K158"/>
  <c r="J158"/>
  <c r="I158"/>
  <c r="H158"/>
  <c r="G158"/>
  <c r="F158"/>
  <c r="E158"/>
  <c r="D158"/>
  <c r="M157"/>
  <c r="L157"/>
  <c r="K157"/>
  <c r="J157"/>
  <c r="I157"/>
  <c r="H157"/>
  <c r="G157"/>
  <c r="F157"/>
  <c r="E157"/>
  <c r="D157"/>
  <c r="M156"/>
  <c r="L156"/>
  <c r="K156"/>
  <c r="J156"/>
  <c r="I156"/>
  <c r="H156"/>
  <c r="G156"/>
  <c r="F156"/>
  <c r="E156"/>
  <c r="D156"/>
  <c r="M155"/>
  <c r="L155"/>
  <c r="K155"/>
  <c r="J155"/>
  <c r="I155"/>
  <c r="H155"/>
  <c r="G155"/>
  <c r="F155"/>
  <c r="E155"/>
  <c r="D155"/>
  <c r="M154"/>
  <c r="L154"/>
  <c r="K154"/>
  <c r="J154"/>
  <c r="I154"/>
  <c r="H154"/>
  <c r="G154"/>
  <c r="F154"/>
  <c r="E154"/>
  <c r="D154"/>
  <c r="M153"/>
  <c r="L153"/>
  <c r="K153"/>
  <c r="J153"/>
  <c r="I153"/>
  <c r="H153"/>
  <c r="G153"/>
  <c r="F153"/>
  <c r="E153"/>
  <c r="D153"/>
  <c r="M152"/>
  <c r="L152"/>
  <c r="K152"/>
  <c r="J152"/>
  <c r="I152"/>
  <c r="H152"/>
  <c r="G152"/>
  <c r="F152"/>
  <c r="E152"/>
  <c r="D152"/>
  <c r="M149"/>
  <c r="L149"/>
  <c r="K149"/>
  <c r="J149"/>
  <c r="I149"/>
  <c r="H149"/>
  <c r="G149"/>
  <c r="F149"/>
  <c r="E149"/>
  <c r="D149"/>
  <c r="M148"/>
  <c r="L148"/>
  <c r="K148"/>
  <c r="J148"/>
  <c r="I148"/>
  <c r="H148"/>
  <c r="G148"/>
  <c r="F148"/>
  <c r="E148"/>
  <c r="D148"/>
  <c r="M147"/>
  <c r="L147"/>
  <c r="K147"/>
  <c r="J147"/>
  <c r="I147"/>
  <c r="H147"/>
  <c r="G147"/>
  <c r="F147"/>
  <c r="E147"/>
  <c r="D147"/>
  <c r="M146"/>
  <c r="L146"/>
  <c r="K146"/>
  <c r="J146"/>
  <c r="I146"/>
  <c r="H146"/>
  <c r="G146"/>
  <c r="F146"/>
  <c r="E146"/>
  <c r="D146"/>
  <c r="M145"/>
  <c r="L145"/>
  <c r="K145"/>
  <c r="J145"/>
  <c r="I145"/>
  <c r="H145"/>
  <c r="G145"/>
  <c r="F145"/>
  <c r="E145"/>
  <c r="D145"/>
  <c r="M143"/>
  <c r="L143"/>
  <c r="K143"/>
  <c r="J143"/>
  <c r="I143"/>
  <c r="H143"/>
  <c r="G143"/>
  <c r="F143"/>
  <c r="E143"/>
  <c r="D143"/>
  <c r="M142"/>
  <c r="L142"/>
  <c r="K142"/>
  <c r="J142"/>
  <c r="I142"/>
  <c r="H142"/>
  <c r="G142"/>
  <c r="F142"/>
  <c r="E142"/>
  <c r="D142"/>
  <c r="M140"/>
  <c r="L140"/>
  <c r="K140"/>
  <c r="J140"/>
  <c r="I140"/>
  <c r="H140"/>
  <c r="G140"/>
  <c r="F140"/>
  <c r="E140"/>
  <c r="D140"/>
  <c r="M139"/>
  <c r="L139"/>
  <c r="K139"/>
  <c r="J139"/>
  <c r="I139"/>
  <c r="H139"/>
  <c r="G139"/>
  <c r="F139"/>
  <c r="E139"/>
  <c r="D139"/>
  <c r="M138"/>
  <c r="L138"/>
  <c r="K138"/>
  <c r="J138"/>
  <c r="I138"/>
  <c r="H138"/>
  <c r="G138"/>
  <c r="F138"/>
  <c r="E138"/>
  <c r="D138"/>
  <c r="M137"/>
  <c r="L137"/>
  <c r="K137"/>
  <c r="J137"/>
  <c r="I137"/>
  <c r="H137"/>
  <c r="G137"/>
  <c r="F137"/>
  <c r="E137"/>
  <c r="D137"/>
  <c r="M136"/>
  <c r="L136"/>
  <c r="K136"/>
  <c r="J136"/>
  <c r="I136"/>
  <c r="H136"/>
  <c r="G136"/>
  <c r="F136"/>
  <c r="E136"/>
  <c r="D136"/>
  <c r="M135"/>
  <c r="L135"/>
  <c r="K135"/>
  <c r="J135"/>
  <c r="I135"/>
  <c r="H135"/>
  <c r="G135"/>
  <c r="F135"/>
  <c r="E135"/>
  <c r="D135"/>
  <c r="D134"/>
  <c r="M133"/>
  <c r="L133"/>
  <c r="K133"/>
  <c r="J133"/>
  <c r="I133"/>
  <c r="H133"/>
  <c r="G133"/>
  <c r="F133"/>
  <c r="E133"/>
  <c r="D132"/>
  <c r="M131"/>
  <c r="L131"/>
  <c r="K131"/>
  <c r="J131"/>
  <c r="I131"/>
  <c r="H131"/>
  <c r="G131"/>
  <c r="F131"/>
  <c r="E131"/>
  <c r="D130"/>
  <c r="M129"/>
  <c r="L129"/>
  <c r="K129"/>
  <c r="J129"/>
  <c r="I129"/>
  <c r="H129"/>
  <c r="G129"/>
  <c r="F129"/>
  <c r="E129"/>
  <c r="D128"/>
  <c r="M127"/>
  <c r="L127"/>
  <c r="K127"/>
  <c r="J127"/>
  <c r="I127"/>
  <c r="H127"/>
  <c r="G127"/>
  <c r="F127"/>
  <c r="E127"/>
  <c r="D126"/>
  <c r="M125"/>
  <c r="L125"/>
  <c r="K125"/>
  <c r="J125"/>
  <c r="I125"/>
  <c r="H125"/>
  <c r="G125"/>
  <c r="F125"/>
  <c r="E125"/>
  <c r="D124"/>
  <c r="M123"/>
  <c r="L123"/>
  <c r="K123"/>
  <c r="J123"/>
  <c r="I123"/>
  <c r="H123"/>
  <c r="G123"/>
  <c r="F123"/>
  <c r="E123"/>
  <c r="D121"/>
  <c r="M120"/>
  <c r="L120"/>
  <c r="K120"/>
  <c r="J120"/>
  <c r="I120"/>
  <c r="H120"/>
  <c r="G120"/>
  <c r="F120"/>
  <c r="E120"/>
  <c r="D119"/>
  <c r="M118"/>
  <c r="L118"/>
  <c r="K118"/>
  <c r="J118"/>
  <c r="I118"/>
  <c r="H118"/>
  <c r="G118"/>
  <c r="F118"/>
  <c r="E118"/>
  <c r="D117"/>
  <c r="M116"/>
  <c r="L116"/>
  <c r="K116"/>
  <c r="J116"/>
  <c r="I116"/>
  <c r="H116"/>
  <c r="G116"/>
  <c r="F116"/>
  <c r="E116"/>
  <c r="D115"/>
  <c r="M114"/>
  <c r="L114"/>
  <c r="K114"/>
  <c r="J114"/>
  <c r="I114"/>
  <c r="H114"/>
  <c r="G114"/>
  <c r="F114"/>
  <c r="E114"/>
  <c r="D113"/>
  <c r="M112"/>
  <c r="L112"/>
  <c r="K112"/>
  <c r="J112"/>
  <c r="I112"/>
  <c r="H112"/>
  <c r="G112"/>
  <c r="F112"/>
  <c r="E112"/>
  <c r="M111"/>
  <c r="L111"/>
  <c r="K111"/>
  <c r="J111"/>
  <c r="I111"/>
  <c r="H111"/>
  <c r="G111"/>
  <c r="F111"/>
  <c r="E111"/>
  <c r="D111"/>
  <c r="M110"/>
  <c r="L110"/>
  <c r="K110"/>
  <c r="J110"/>
  <c r="I110"/>
  <c r="H110"/>
  <c r="G110"/>
  <c r="F110"/>
  <c r="E110"/>
  <c r="D110"/>
  <c r="M109"/>
  <c r="L109"/>
  <c r="K109"/>
  <c r="J109"/>
  <c r="I109"/>
  <c r="H109"/>
  <c r="G109"/>
  <c r="F109"/>
  <c r="E109"/>
  <c r="D109"/>
  <c r="D107"/>
  <c r="M106"/>
  <c r="L106"/>
  <c r="K106"/>
  <c r="J106"/>
  <c r="I106"/>
  <c r="H106"/>
  <c r="G106"/>
  <c r="F106"/>
  <c r="E106"/>
  <c r="G105"/>
  <c r="F105"/>
  <c r="E105"/>
  <c r="D105"/>
  <c r="M104"/>
  <c r="L104"/>
  <c r="K104"/>
  <c r="J104"/>
  <c r="I104"/>
  <c r="H104"/>
  <c r="D103"/>
  <c r="M102"/>
  <c r="L102"/>
  <c r="K102"/>
  <c r="J102"/>
  <c r="I102"/>
  <c r="H102"/>
  <c r="G102"/>
  <c r="F102"/>
  <c r="E102"/>
  <c r="G101"/>
  <c r="F101"/>
  <c r="E101"/>
  <c r="M100"/>
  <c r="L100"/>
  <c r="K100"/>
  <c r="J100"/>
  <c r="I100"/>
  <c r="H100"/>
  <c r="D100"/>
  <c r="M99"/>
  <c r="L99"/>
  <c r="K99"/>
  <c r="J99"/>
  <c r="I99"/>
  <c r="H99"/>
  <c r="G99"/>
  <c r="F99"/>
  <c r="E99"/>
  <c r="D99"/>
  <c r="G98"/>
  <c r="F98"/>
  <c r="E98"/>
  <c r="M97"/>
  <c r="L97"/>
  <c r="K97"/>
  <c r="J97"/>
  <c r="I97"/>
  <c r="H97"/>
  <c r="D97"/>
  <c r="D96"/>
  <c r="M95"/>
  <c r="L95"/>
  <c r="K95"/>
  <c r="J95"/>
  <c r="I95"/>
  <c r="H95"/>
  <c r="G95"/>
  <c r="F95"/>
  <c r="E95"/>
  <c r="D94"/>
  <c r="M93"/>
  <c r="L93"/>
  <c r="K93"/>
  <c r="J93"/>
  <c r="I93"/>
  <c r="H93"/>
  <c r="G93"/>
  <c r="F93"/>
  <c r="E93"/>
  <c r="M91"/>
  <c r="L91"/>
  <c r="K91"/>
  <c r="J91"/>
  <c r="I91"/>
  <c r="H91"/>
  <c r="G91"/>
  <c r="F91"/>
  <c r="E90"/>
  <c r="D90"/>
  <c r="M89"/>
  <c r="L89"/>
  <c r="K89"/>
  <c r="J89"/>
  <c r="I89"/>
  <c r="H89"/>
  <c r="G89"/>
  <c r="F89"/>
  <c r="E88"/>
  <c r="G84"/>
  <c r="F84"/>
  <c r="E84"/>
  <c r="D84"/>
  <c r="M83"/>
  <c r="L83"/>
  <c r="K83"/>
  <c r="J83"/>
  <c r="I83"/>
  <c r="H83"/>
  <c r="G82"/>
  <c r="F82"/>
  <c r="E82"/>
  <c r="M78"/>
  <c r="L78"/>
  <c r="K78"/>
  <c r="J78"/>
  <c r="I78"/>
  <c r="H78"/>
  <c r="G78"/>
  <c r="F78"/>
  <c r="E78"/>
  <c r="D78"/>
  <c r="D76"/>
  <c r="M75"/>
  <c r="L75"/>
  <c r="K75"/>
  <c r="J75"/>
  <c r="I75"/>
  <c r="H75"/>
  <c r="G75"/>
  <c r="F75"/>
  <c r="E75"/>
  <c r="M74"/>
  <c r="L74"/>
  <c r="K74"/>
  <c r="J74"/>
  <c r="I74"/>
  <c r="H74"/>
  <c r="G74"/>
  <c r="F74"/>
  <c r="E74"/>
  <c r="D74"/>
  <c r="M72"/>
  <c r="L72"/>
  <c r="K72"/>
  <c r="J72"/>
  <c r="I72"/>
  <c r="H72"/>
  <c r="G72"/>
  <c r="F72"/>
  <c r="E72"/>
  <c r="D72"/>
  <c r="D69"/>
  <c r="M68"/>
  <c r="L68"/>
  <c r="K68"/>
  <c r="J68"/>
  <c r="I68"/>
  <c r="H68"/>
  <c r="G68"/>
  <c r="F68"/>
  <c r="E68"/>
  <c r="D65"/>
  <c r="M64"/>
  <c r="L64"/>
  <c r="K64"/>
  <c r="J64"/>
  <c r="I64"/>
  <c r="H64"/>
  <c r="G64"/>
  <c r="F64"/>
  <c r="E64"/>
  <c r="M62"/>
  <c r="L62"/>
  <c r="K62"/>
  <c r="J62"/>
  <c r="I62"/>
  <c r="H62"/>
  <c r="G62"/>
  <c r="F62"/>
  <c r="E62"/>
  <c r="D62"/>
  <c r="L61"/>
  <c r="K61"/>
  <c r="J61"/>
  <c r="I61"/>
  <c r="H61"/>
  <c r="G61"/>
  <c r="F61"/>
  <c r="M60"/>
  <c r="E60"/>
  <c r="D60"/>
  <c r="M59"/>
  <c r="L59"/>
  <c r="K59"/>
  <c r="J59"/>
  <c r="I59"/>
  <c r="H59"/>
  <c r="G59"/>
  <c r="F59"/>
  <c r="E59"/>
  <c r="D59"/>
  <c r="M58"/>
  <c r="L58"/>
  <c r="K58"/>
  <c r="J58"/>
  <c r="I58"/>
  <c r="H58"/>
  <c r="G58"/>
  <c r="F58"/>
  <c r="E58"/>
  <c r="D58"/>
  <c r="M57"/>
  <c r="L57"/>
  <c r="K57"/>
  <c r="J57"/>
  <c r="I57"/>
  <c r="H57"/>
  <c r="G57"/>
  <c r="F57"/>
  <c r="E57"/>
  <c r="D57"/>
  <c r="M56"/>
  <c r="L56"/>
  <c r="K56"/>
  <c r="J56"/>
  <c r="I56"/>
  <c r="H56"/>
  <c r="G56"/>
  <c r="F56"/>
  <c r="E56"/>
  <c r="D56"/>
  <c r="M55"/>
  <c r="L55"/>
  <c r="K55"/>
  <c r="J55"/>
  <c r="I55"/>
  <c r="H55"/>
  <c r="G55"/>
  <c r="F55"/>
  <c r="E55"/>
  <c r="D55"/>
  <c r="M54"/>
  <c r="L54"/>
  <c r="K54"/>
  <c r="J54"/>
  <c r="I54"/>
  <c r="H54"/>
  <c r="G54"/>
  <c r="F54"/>
  <c r="E53"/>
  <c r="D53"/>
  <c r="M52"/>
  <c r="L52"/>
  <c r="K52"/>
  <c r="J52"/>
  <c r="I52"/>
  <c r="H52"/>
  <c r="G52"/>
  <c r="F52"/>
  <c r="E51"/>
  <c r="D51"/>
  <c r="M50"/>
  <c r="L50"/>
  <c r="K50"/>
  <c r="J50"/>
  <c r="I50"/>
  <c r="H50"/>
  <c r="G50"/>
  <c r="F50"/>
  <c r="E50"/>
  <c r="D50"/>
  <c r="M49"/>
  <c r="L49"/>
  <c r="K49"/>
  <c r="J49"/>
  <c r="I49"/>
  <c r="H49"/>
  <c r="G49"/>
  <c r="F49"/>
  <c r="E49"/>
  <c r="D49"/>
  <c r="M48"/>
  <c r="L48"/>
  <c r="K48"/>
  <c r="J48"/>
  <c r="I48"/>
  <c r="H48"/>
  <c r="G48"/>
  <c r="F48"/>
  <c r="E48"/>
  <c r="D48"/>
  <c r="M47"/>
  <c r="L47"/>
  <c r="K47"/>
  <c r="J47"/>
  <c r="I47"/>
  <c r="H47"/>
  <c r="G47"/>
  <c r="F47"/>
  <c r="E47"/>
  <c r="D47"/>
  <c r="D46"/>
  <c r="M45"/>
  <c r="L45"/>
  <c r="K45"/>
  <c r="J45"/>
  <c r="I45"/>
  <c r="H45"/>
  <c r="G45"/>
  <c r="F45"/>
  <c r="E45"/>
  <c r="D44"/>
  <c r="M43"/>
  <c r="L43"/>
  <c r="K43"/>
  <c r="J43"/>
  <c r="I43"/>
  <c r="H43"/>
  <c r="G43"/>
  <c r="F43"/>
  <c r="E43"/>
  <c r="M42"/>
  <c r="L42"/>
  <c r="K42"/>
  <c r="J42"/>
  <c r="I42"/>
  <c r="H42"/>
  <c r="G42"/>
  <c r="F42"/>
  <c r="E42"/>
  <c r="D42"/>
  <c r="M41"/>
  <c r="L41"/>
  <c r="K41"/>
  <c r="J41"/>
  <c r="I41"/>
  <c r="H41"/>
  <c r="G41"/>
  <c r="F41"/>
  <c r="E41"/>
  <c r="D41"/>
  <c r="D40"/>
  <c r="M39"/>
  <c r="L39"/>
  <c r="K39"/>
  <c r="J39"/>
  <c r="I39"/>
  <c r="H39"/>
  <c r="G39"/>
  <c r="F39"/>
  <c r="E39"/>
  <c r="M38"/>
  <c r="L38"/>
  <c r="K38"/>
  <c r="J38"/>
  <c r="I38"/>
  <c r="H38"/>
  <c r="G38"/>
  <c r="F38"/>
  <c r="D38"/>
  <c r="E37"/>
  <c r="M36"/>
  <c r="L36"/>
  <c r="K36"/>
  <c r="J36"/>
  <c r="I36"/>
  <c r="H36"/>
  <c r="G36"/>
  <c r="F36"/>
  <c r="D36"/>
  <c r="E35"/>
  <c r="M34"/>
  <c r="L34"/>
  <c r="K34"/>
  <c r="J34"/>
  <c r="I34"/>
  <c r="H34"/>
  <c r="G34"/>
  <c r="F34"/>
  <c r="E34"/>
  <c r="D34"/>
  <c r="M32"/>
  <c r="L32"/>
  <c r="K32"/>
  <c r="J32"/>
  <c r="I32"/>
  <c r="H32"/>
  <c r="G32"/>
  <c r="F32"/>
  <c r="E32"/>
  <c r="D32"/>
  <c r="M31"/>
  <c r="L31"/>
  <c r="K31"/>
  <c r="J31"/>
  <c r="I31"/>
  <c r="H31"/>
  <c r="G31"/>
  <c r="F31"/>
  <c r="E31"/>
  <c r="D31"/>
  <c r="M30"/>
  <c r="L30"/>
  <c r="K30"/>
  <c r="J30"/>
  <c r="I30"/>
  <c r="H30"/>
  <c r="G30"/>
  <c r="F30"/>
  <c r="E30"/>
  <c r="D30"/>
  <c r="M29"/>
  <c r="L29"/>
  <c r="K29"/>
  <c r="J29"/>
  <c r="I29"/>
  <c r="H29"/>
  <c r="G29"/>
  <c r="F29"/>
  <c r="E29"/>
  <c r="D29"/>
  <c r="M28"/>
  <c r="L28"/>
  <c r="K28"/>
  <c r="J28"/>
  <c r="I28"/>
  <c r="H28"/>
  <c r="G28"/>
  <c r="F28"/>
  <c r="E28"/>
  <c r="D28"/>
  <c r="M27"/>
  <c r="L27"/>
  <c r="K27"/>
  <c r="J27"/>
  <c r="I27"/>
  <c r="H27"/>
  <c r="G27"/>
  <c r="F27"/>
  <c r="E27"/>
  <c r="D27"/>
  <c r="D26"/>
  <c r="M25"/>
  <c r="L25"/>
  <c r="K25"/>
  <c r="J25"/>
  <c r="I25"/>
  <c r="H25"/>
  <c r="G25"/>
  <c r="F25"/>
  <c r="E25"/>
  <c r="M24"/>
  <c r="L24"/>
  <c r="K24"/>
  <c r="J24"/>
  <c r="I24"/>
  <c r="H24"/>
  <c r="G24"/>
  <c r="F24"/>
  <c r="D24"/>
  <c r="E23"/>
  <c r="D22"/>
  <c r="M21"/>
  <c r="L21"/>
  <c r="K21"/>
  <c r="J21"/>
  <c r="I21"/>
  <c r="H21"/>
  <c r="G21"/>
  <c r="F21"/>
  <c r="E21"/>
  <c r="M20"/>
  <c r="L20"/>
  <c r="K20"/>
  <c r="J20"/>
  <c r="I20"/>
  <c r="H20"/>
  <c r="G20"/>
  <c r="F20"/>
  <c r="E20"/>
  <c r="D20"/>
  <c r="D19"/>
  <c r="M18"/>
  <c r="L18"/>
  <c r="K18"/>
  <c r="J18"/>
  <c r="I18"/>
  <c r="H18"/>
  <c r="G18"/>
  <c r="F18"/>
  <c r="E18"/>
  <c r="D17"/>
  <c r="M16"/>
  <c r="L16"/>
  <c r="K16"/>
  <c r="J16"/>
  <c r="I16"/>
  <c r="H16"/>
  <c r="G16"/>
  <c r="F16"/>
  <c r="E16"/>
  <c r="D15"/>
  <c r="M14"/>
  <c r="L14"/>
  <c r="K14"/>
  <c r="J14"/>
  <c r="I14"/>
  <c r="H14"/>
  <c r="G14"/>
  <c r="F14"/>
  <c r="E14"/>
  <c r="M13"/>
  <c r="L13"/>
  <c r="K13"/>
  <c r="J13"/>
  <c r="I13"/>
  <c r="H13"/>
  <c r="G13"/>
  <c r="F13"/>
  <c r="E13"/>
  <c r="D13"/>
  <c r="D12"/>
  <c r="M11"/>
  <c r="L11"/>
  <c r="K11"/>
  <c r="J11"/>
  <c r="I11"/>
  <c r="H11"/>
  <c r="G11"/>
  <c r="F11"/>
  <c r="E11"/>
  <c r="M9"/>
  <c r="L9"/>
  <c r="K9"/>
  <c r="J9"/>
  <c r="I9"/>
  <c r="H9"/>
  <c r="D9"/>
  <c r="M7"/>
  <c r="L7"/>
  <c r="K7"/>
  <c r="J7"/>
  <c r="I7"/>
  <c r="H7"/>
  <c r="G7"/>
  <c r="F7"/>
  <c r="E7"/>
  <c r="M5"/>
  <c r="L5"/>
  <c r="K5"/>
  <c r="J5"/>
  <c r="I5"/>
  <c r="H5"/>
  <c r="G5"/>
  <c r="F5"/>
  <c r="E5"/>
  <c r="D6"/>
  <c r="D4"/>
  <c r="M3"/>
  <c r="L3"/>
  <c r="K3"/>
  <c r="J3"/>
  <c r="I3"/>
  <c r="H3"/>
  <c r="G3"/>
  <c r="F3"/>
  <c r="E3"/>
  <c r="D3"/>
  <c r="D2"/>
  <c r="E2" s="1"/>
  <c r="F2" s="1"/>
  <c r="G2" s="1"/>
  <c r="H2" s="1"/>
  <c r="I2" s="1"/>
  <c r="J2" s="1"/>
  <c r="K2" s="1"/>
  <c r="L2" s="1"/>
  <c r="M2" s="1"/>
  <c r="D80" l="1"/>
  <c r="E86"/>
  <c r="G86"/>
  <c r="I86"/>
  <c r="K86"/>
  <c r="M86"/>
  <c r="H86"/>
  <c r="J86"/>
  <c r="L86"/>
  <c r="D86"/>
  <c r="F86"/>
</calcChain>
</file>

<file path=xl/sharedStrings.xml><?xml version="1.0" encoding="utf-8"?>
<sst xmlns="http://schemas.openxmlformats.org/spreadsheetml/2006/main" count="388" uniqueCount="202">
  <si>
    <t>Kształtowanie się  Wieloletniej Prognozy Finansowej Gminy Kleszczewo za I półrocze 2015r.</t>
  </si>
  <si>
    <t>Lp.</t>
  </si>
  <si>
    <t>Wyszczególnienie</t>
  </si>
  <si>
    <t>01.01</t>
  </si>
  <si>
    <t>Dochody ogółem</t>
  </si>
  <si>
    <t>x</t>
  </si>
  <si>
    <t>30.06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</si>
  <si>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</si>
  <si>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</si>
  <si>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</si>
  <si>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</si>
  <si>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</si>
  <si>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</si>
  <si>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</si>
  <si>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</si>
  <si>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</si>
  <si>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01.01 i 30.06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</si>
  <si>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</si>
  <si>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</si>
  <si>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</si>
  <si>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</si>
  <si>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</si>
  <si>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</si>
  <si>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</si>
  <si>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</si>
  <si>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</si>
  <si>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</si>
  <si>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</si>
  <si>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</si>
  <si>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</si>
  <si>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</si>
  <si>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</si>
  <si>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01.01              i 30.06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</si>
  <si>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</si>
  <si>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</si>
  <si>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</si>
  <si>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</si>
  <si>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</si>
  <si>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</si>
  <si>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</si>
  <si>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</si>
  <si>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</si>
  <si>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</si>
  <si>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</si>
  <si>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</si>
  <si>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 zaciągniętych na wkład krajowy</t>
  </si>
  <si>
    <t>2.2</t>
  </si>
  <si>
    <t>Wydatki majątkowe</t>
  </si>
  <si>
    <t>Wynik budżetu</t>
  </si>
  <si>
    <t>Przychody budżetu</t>
  </si>
  <si>
    <t>4.1</t>
  </si>
  <si>
    <t>01.01               i  30.06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</si>
  <si>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</si>
  <si>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</si>
  <si>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</si>
  <si>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</si>
  <si>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</si>
  <si>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</si>
  <si>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</si>
  <si>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01.01                i   30.06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</si>
  <si>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</si>
  <si>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</si>
  <si>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</si>
  <si>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</si>
  <si>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</si>
  <si>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</si>
  <si>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</si>
  <si>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</si>
  <si>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</si>
  <si>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</si>
  <si>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</si>
  <si>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kwota przypadających na dany rok kwot ustawowych wyłączeń określonych w art. 243 ust. 3 ustawy</t>
  </si>
  <si>
    <t>5.1.1.2</t>
  </si>
  <si>
    <t>kwota przypadających na dany rok kwot ustawowych wyłączeń określonych w art. 243 ust. 3a ustawy</t>
  </si>
  <si>
    <t>5.1.1.3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</si>
  <si>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</si>
  <si>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</si>
  <si>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</si>
  <si>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</si>
  <si>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</si>
  <si>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01.01                   i  30.06</t>
  </si>
  <si>
    <t>Relacja zrównoważenia wydatków bieżących, o której mowa w art. 242 ustawy</t>
  </si>
  <si>
    <t>8.1</t>
  </si>
  <si>
    <t>Różnica między dochodami bieżącymi a  wydatkami bieżącymi</t>
  </si>
  <si>
    <t>8.2</t>
  </si>
  <si>
    <t>Różnica między dochodami bieżącymi, skorygowanymi o środki a wydatkami bieżącymi, pomniejszonymi  o wydatki</t>
  </si>
  <si>
    <t>Wskaźnik spłaty zobowiązań</t>
  </si>
  <si>
    <t>9.1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</si>
  <si>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</si>
  <si>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</si>
  <si>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</si>
  <si>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</si>
  <si>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</si>
  <si>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</si>
  <si>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</si>
  <si>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</si>
  <si>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</si>
  <si>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</si>
  <si>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</si>
  <si>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</si>
  <si>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</si>
  <si>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</si>
  <si>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</si>
  <si>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Spełnia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</si>
  <si>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</si>
  <si>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</si>
  <si>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</si>
  <si>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</si>
  <si>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</si>
  <si>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</si>
  <si>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</si>
  <si>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</si>
  <si>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</si>
  <si>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</si>
  <si>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</si>
  <si>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</si>
  <si>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</si>
  <si>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</si>
  <si>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</si>
  <si>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</si>
  <si>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</si>
  <si>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</si>
  <si>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</si>
  <si>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</si>
  <si>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</si>
  <si>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</si>
  <si>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</si>
  <si>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</si>
  <si>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01.01                       i 30.06</t>
  </si>
  <si>
    <t>Dochody bieżące  na programy, projekty lub zadania finansowane z udziałem środków, o których mowa w art. 5 ust. 1 pkt 2 i 3 ustawy</t>
  </si>
  <si>
    <t>12.1.1</t>
  </si>
  <si>
    <t>-  w tym środki określone w art. 5 ust. 1 pkt 2 ustawy</t>
  </si>
  <si>
    <t>12.1.1.1</t>
  </si>
  <si>
    <t>- w tym 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</si>
  <si>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</si>
  <si>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</si>
  <si>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</si>
  <si>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</si>
  <si>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</si>
  <si>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</si>
  <si>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</si>
  <si>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</si>
  <si>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-  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</si>
  <si>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</si>
  <si>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</si>
  <si>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</si>
  <si>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</si>
  <si>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</si>
  <si>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-  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</si>
  <si>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</si>
  <si>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</si>
  <si>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</si>
  <si>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</si>
  <si>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</si>
  <si>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>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</si>
  <si>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</si>
  <si>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</si>
  <si>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</si>
  <si>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</si>
  <si>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</si>
  <si>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</si>
  <si>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</si>
  <si>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</si>
  <si>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</si>
  <si>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</si>
  <si>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</si>
  <si>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>01.01.             i 30.06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</si>
  <si>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</si>
  <si>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</si>
  <si>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</si>
  <si>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</si>
  <si>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</si>
  <si>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</si>
  <si>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</si>
  <si>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</si>
  <si>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</si>
  <si>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</si>
  <si>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</si>
  <si>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</si>
  <si>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</si>
  <si>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</si>
  <si>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</si>
  <si>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</si>
  <si>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</si>
  <si>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</si>
  <si>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</si>
  <si>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</si>
  <si>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</si>
  <si>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</si>
  <si>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</si>
  <si>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do państwowego długu publicznego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</si>
  <si>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</si>
  <si>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</si>
  <si>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</si>
  <si>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</si>
  <si>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 xml:space="preserve">01.01.                           i 30.06      </t>
  </si>
  <si>
    <t>01.01             i  30.06</t>
  </si>
  <si>
    <t>01.01                   i 30.06</t>
  </si>
  <si>
    <t>01.01                i 30.06</t>
  </si>
  <si>
    <t>Kleszczewo 24.08.2015r.</t>
  </si>
  <si>
    <t>01.01                                       i 30.06</t>
  </si>
  <si>
    <t>01.01                                            i 30.06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</si>
</sst>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0%;[Red]\-0.00%"/>
  </numFmts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sz val="8.5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8.5"/>
      <color indexed="8"/>
      <name val="Times New Roman"/>
      <family val="1"/>
      <charset val="238"/>
    </font>
    <font>
      <sz val="8.5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.5"/>
      <color indexed="8"/>
      <name val="Times New Roman"/>
      <family val="1"/>
      <charset val="238"/>
    </font>
    <font>
      <b/>
      <sz val="8.5"/>
      <color theme="1"/>
      <name val="Times New Roman"/>
      <family val="1"/>
      <charset val="238"/>
    </font>
    <font>
      <sz val="8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49" fontId="5" fillId="3" borderId="4" xfId="1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/>
    <xf numFmtId="0" fontId="0" fillId="3" borderId="0" xfId="0" applyFill="1"/>
    <xf numFmtId="0" fontId="6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/>
    <xf numFmtId="49" fontId="5" fillId="3" borderId="9" xfId="1" applyNumberFormat="1" applyFont="1" applyFill="1" applyBorder="1" applyAlignment="1" applyProtection="1">
      <alignment horizontal="center" vertical="center"/>
      <protection locked="0"/>
    </xf>
    <xf numFmtId="49" fontId="5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7" fillId="0" borderId="0" xfId="0" applyFont="1"/>
    <xf numFmtId="49" fontId="10" fillId="2" borderId="2" xfId="1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0" borderId="0" xfId="0" applyFont="1"/>
    <xf numFmtId="0" fontId="6" fillId="0" borderId="16" xfId="0" applyFont="1" applyBorder="1" applyAlignment="1">
      <alignment horizontal="left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1" fontId="10" fillId="2" borderId="2" xfId="1" applyNumberFormat="1" applyFont="1" applyFill="1" applyBorder="1" applyAlignment="1">
      <alignment horizontal="center" vertical="center"/>
    </xf>
    <xf numFmtId="4" fontId="10" fillId="3" borderId="6" xfId="1" applyNumberFormat="1" applyFont="1" applyFill="1" applyBorder="1" applyAlignment="1">
      <alignment horizontal="right" vertical="center"/>
    </xf>
    <xf numFmtId="164" fontId="10" fillId="0" borderId="11" xfId="1" applyNumberFormat="1" applyFont="1" applyFill="1" applyBorder="1" applyAlignment="1">
      <alignment vertical="center" shrinkToFit="1"/>
    </xf>
    <xf numFmtId="164" fontId="5" fillId="0" borderId="11" xfId="1" applyNumberFormat="1" applyFont="1" applyFill="1" applyBorder="1" applyAlignment="1">
      <alignment vertical="center" shrinkToFit="1"/>
    </xf>
    <xf numFmtId="4" fontId="6" fillId="0" borderId="6" xfId="0" applyNumberFormat="1" applyFont="1" applyBorder="1" applyAlignment="1">
      <alignment vertical="center" shrinkToFit="1"/>
    </xf>
    <xf numFmtId="0" fontId="6" fillId="0" borderId="8" xfId="0" applyFont="1" applyBorder="1" applyAlignment="1">
      <alignment horizontal="left" vertical="center" wrapText="1" indent="3"/>
    </xf>
    <xf numFmtId="164" fontId="5" fillId="0" borderId="9" xfId="1" applyNumberFormat="1" applyFont="1" applyFill="1" applyBorder="1" applyAlignment="1">
      <alignment vertical="center" shrinkToFit="1"/>
    </xf>
    <xf numFmtId="0" fontId="6" fillId="0" borderId="8" xfId="0" applyFont="1" applyBorder="1" applyAlignment="1">
      <alignment horizontal="left" vertical="center" wrapText="1" indent="2"/>
    </xf>
    <xf numFmtId="4" fontId="10" fillId="0" borderId="4" xfId="0" applyNumberFormat="1" applyFont="1" applyBorder="1" applyAlignment="1">
      <alignment vertical="center" shrinkToFit="1"/>
    </xf>
    <xf numFmtId="164" fontId="10" fillId="0" borderId="9" xfId="1" applyNumberFormat="1" applyFont="1" applyFill="1" applyBorder="1" applyAlignment="1">
      <alignment vertical="center" shrinkToFit="1"/>
    </xf>
    <xf numFmtId="0" fontId="6" fillId="0" borderId="8" xfId="0" applyFont="1" applyBorder="1" applyAlignment="1">
      <alignment horizontal="left" vertical="center" wrapText="1" indent="4"/>
    </xf>
    <xf numFmtId="0" fontId="6" fillId="0" borderId="8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vertical="center" wrapText="1"/>
    </xf>
    <xf numFmtId="164" fontId="10" fillId="0" borderId="11" xfId="1" applyNumberFormat="1" applyFont="1" applyFill="1" applyBorder="1" applyAlignment="1">
      <alignment horizontal="center" vertical="center" shrinkToFit="1"/>
    </xf>
    <xf numFmtId="164" fontId="10" fillId="0" borderId="9" xfId="1" applyNumberFormat="1" applyFont="1" applyFill="1" applyBorder="1" applyAlignment="1">
      <alignment horizontal="center" vertical="center" shrinkToFit="1"/>
    </xf>
    <xf numFmtId="164" fontId="5" fillId="0" borderId="11" xfId="1" applyNumberFormat="1" applyFont="1" applyFill="1" applyBorder="1" applyAlignment="1">
      <alignment horizontal="right" vertical="center" shrinkToFit="1"/>
    </xf>
    <xf numFmtId="10" fontId="5" fillId="0" borderId="11" xfId="1" applyNumberFormat="1" applyFont="1" applyFill="1" applyBorder="1" applyAlignment="1">
      <alignment horizontal="right" vertical="center" shrinkToFit="1"/>
    </xf>
    <xf numFmtId="10" fontId="5" fillId="0" borderId="9" xfId="1" applyNumberFormat="1" applyFont="1" applyFill="1" applyBorder="1" applyAlignment="1">
      <alignment horizontal="right" vertical="center" shrinkToFit="1"/>
    </xf>
    <xf numFmtId="164" fontId="5" fillId="0" borderId="9" xfId="1" applyNumberFormat="1" applyFont="1" applyFill="1" applyBorder="1" applyAlignment="1">
      <alignment horizontal="right" vertical="center" shrinkToFit="1"/>
    </xf>
    <xf numFmtId="165" fontId="5" fillId="0" borderId="11" xfId="1" applyNumberFormat="1" applyFont="1" applyFill="1" applyBorder="1" applyAlignment="1">
      <alignment vertical="center" shrinkToFit="1"/>
    </xf>
    <xf numFmtId="165" fontId="5" fillId="0" borderId="9" xfId="1" applyNumberFormat="1" applyFont="1" applyFill="1" applyBorder="1" applyAlignment="1">
      <alignment vertical="center" shrinkToFit="1"/>
    </xf>
    <xf numFmtId="10" fontId="5" fillId="0" borderId="11" xfId="1" applyNumberFormat="1" applyFont="1" applyFill="1" applyBorder="1" applyAlignment="1">
      <alignment vertical="center" shrinkToFit="1"/>
    </xf>
    <xf numFmtId="10" fontId="6" fillId="0" borderId="4" xfId="0" applyNumberFormat="1" applyFont="1" applyBorder="1" applyAlignment="1">
      <alignment vertical="center" shrinkToFit="1"/>
    </xf>
    <xf numFmtId="10" fontId="5" fillId="0" borderId="9" xfId="1" applyNumberFormat="1" applyFont="1" applyFill="1" applyBorder="1" applyAlignment="1">
      <alignment vertical="center" shrinkToFit="1"/>
    </xf>
    <xf numFmtId="165" fontId="5" fillId="0" borderId="15" xfId="1" applyNumberFormat="1" applyFont="1" applyFill="1" applyBorder="1" applyAlignment="1">
      <alignment vertical="center" shrinkToFit="1"/>
    </xf>
    <xf numFmtId="0" fontId="5" fillId="0" borderId="11" xfId="1" applyNumberFormat="1" applyFont="1" applyFill="1" applyBorder="1" applyAlignment="1">
      <alignment horizontal="center" vertical="center" shrinkToFit="1"/>
    </xf>
    <xf numFmtId="0" fontId="5" fillId="0" borderId="9" xfId="1" applyNumberFormat="1" applyFont="1" applyFill="1" applyBorder="1" applyAlignment="1">
      <alignment horizontal="center" vertical="center" shrinkToFit="1"/>
    </xf>
    <xf numFmtId="4" fontId="10" fillId="0" borderId="9" xfId="1" applyNumberFormat="1" applyFont="1" applyFill="1" applyBorder="1" applyAlignment="1">
      <alignment horizontal="right" vertical="center" shrinkToFit="1"/>
    </xf>
    <xf numFmtId="4" fontId="6" fillId="0" borderId="4" xfId="0" applyNumberFormat="1" applyFont="1" applyBorder="1" applyAlignment="1">
      <alignment vertical="center" shrinkToFit="1"/>
    </xf>
    <xf numFmtId="0" fontId="6" fillId="0" borderId="8" xfId="0" quotePrefix="1" applyFont="1" applyBorder="1" applyAlignment="1">
      <alignment horizontal="left" vertical="center" wrapText="1" indent="2"/>
    </xf>
    <xf numFmtId="0" fontId="6" fillId="0" borderId="8" xfId="0" quotePrefix="1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 indent="1"/>
    </xf>
    <xf numFmtId="164" fontId="5" fillId="0" borderId="16" xfId="1" applyNumberFormat="1" applyFont="1" applyFill="1" applyBorder="1" applyAlignment="1">
      <alignment vertical="center" shrinkToFit="1"/>
    </xf>
    <xf numFmtId="164" fontId="5" fillId="0" borderId="17" xfId="1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vertical="center" wrapText="1"/>
    </xf>
    <xf numFmtId="164" fontId="5" fillId="0" borderId="18" xfId="1" applyNumberFormat="1" applyFont="1" applyFill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164" fontId="5" fillId="0" borderId="14" xfId="1" applyNumberFormat="1" applyFont="1" applyFill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1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4" xfId="0" applyFont="1" applyBorder="1" applyAlignment="1">
      <alignment vertical="center" shrinkToFi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2"/>
    </xf>
    <xf numFmtId="0" fontId="12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shrinkToFit="1"/>
    </xf>
    <xf numFmtId="0" fontId="6" fillId="0" borderId="13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 indent="2"/>
    </xf>
    <xf numFmtId="0" fontId="6" fillId="0" borderId="13" xfId="0" quotePrefix="1" applyFont="1" applyBorder="1" applyAlignment="1">
      <alignment horizontal="left" vertical="center" wrapText="1" indent="2"/>
    </xf>
    <xf numFmtId="0" fontId="6" fillId="0" borderId="13" xfId="0" quotePrefix="1" applyFont="1" applyBorder="1" applyAlignment="1">
      <alignment horizontal="left" vertical="center" wrapText="1" indent="3"/>
    </xf>
    <xf numFmtId="164" fontId="10" fillId="0" borderId="14" xfId="1" applyNumberFormat="1" applyFont="1" applyFill="1" applyBorder="1" applyAlignment="1">
      <alignment vertical="center" shrinkToFit="1"/>
    </xf>
    <xf numFmtId="164" fontId="5" fillId="0" borderId="12" xfId="1" applyNumberFormat="1" applyFont="1" applyFill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vertical="center" wrapText="1"/>
    </xf>
    <xf numFmtId="164" fontId="10" fillId="0" borderId="12" xfId="1" applyNumberFormat="1" applyFont="1" applyFill="1" applyBorder="1" applyAlignment="1">
      <alignment vertical="center" shrinkToFit="1"/>
    </xf>
    <xf numFmtId="0" fontId="11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164" fontId="10" fillId="0" borderId="7" xfId="1" applyNumberFormat="1" applyFont="1" applyFill="1" applyBorder="1" applyAlignment="1">
      <alignment vertical="center" shrinkToFit="1"/>
    </xf>
    <xf numFmtId="0" fontId="6" fillId="0" borderId="4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2"/>
    </xf>
    <xf numFmtId="4" fontId="5" fillId="0" borderId="12" xfId="1" applyNumberFormat="1" applyFont="1" applyFill="1" applyBorder="1" applyAlignment="1">
      <alignment vertical="center" shrinkToFit="1"/>
    </xf>
    <xf numFmtId="4" fontId="6" fillId="0" borderId="6" xfId="0" applyNumberFormat="1" applyFont="1" applyBorder="1" applyAlignment="1">
      <alignment vertical="center" shrinkToFit="1"/>
    </xf>
    <xf numFmtId="4" fontId="5" fillId="0" borderId="14" xfId="0" applyNumberFormat="1" applyFont="1" applyBorder="1" applyAlignment="1">
      <alignment vertical="center" shrinkToFit="1"/>
    </xf>
    <xf numFmtId="4" fontId="6" fillId="0" borderId="4" xfId="0" applyNumberFormat="1" applyFont="1" applyBorder="1" applyAlignment="1">
      <alignment vertical="center" shrinkToFit="1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10" fontId="5" fillId="0" borderId="14" xfId="1" applyNumberFormat="1" applyFont="1" applyFill="1" applyBorder="1" applyAlignment="1">
      <alignment vertical="center" shrinkToFit="1"/>
    </xf>
    <xf numFmtId="165" fontId="5" fillId="0" borderId="14" xfId="1" applyNumberFormat="1" applyFont="1" applyFill="1" applyBorder="1" applyAlignment="1">
      <alignment vertical="center" shrinkToFit="1"/>
    </xf>
    <xf numFmtId="165" fontId="5" fillId="0" borderId="12" xfId="1" applyNumberFormat="1" applyFont="1" applyFill="1" applyBorder="1" applyAlignment="1">
      <alignment vertical="center" shrinkToFit="1"/>
    </xf>
    <xf numFmtId="10" fontId="6" fillId="0" borderId="14" xfId="0" applyNumberFormat="1" applyFont="1" applyBorder="1" applyAlignment="1">
      <alignment vertical="center" shrinkToFit="1"/>
    </xf>
    <xf numFmtId="10" fontId="5" fillId="0" borderId="14" xfId="0" applyNumberFormat="1" applyFont="1" applyBorder="1" applyAlignment="1">
      <alignment vertical="center" shrinkToFit="1"/>
    </xf>
    <xf numFmtId="4" fontId="10" fillId="0" borderId="12" xfId="1" applyNumberFormat="1" applyFont="1" applyFill="1" applyBorder="1" applyAlignment="1">
      <alignment horizontal="right" vertical="center" shrinkToFit="1"/>
    </xf>
    <xf numFmtId="4" fontId="11" fillId="0" borderId="6" xfId="0" applyNumberFormat="1" applyFont="1" applyBorder="1" applyAlignment="1">
      <alignment horizontal="right" vertical="center" shrinkToFit="1"/>
    </xf>
    <xf numFmtId="0" fontId="5" fillId="0" borderId="6" xfId="0" applyFont="1" applyBorder="1" applyAlignment="1">
      <alignment vertical="center" shrinkToFit="1"/>
    </xf>
  </cellXfs>
  <cellStyles count="2">
    <cellStyle name="Normalny" xfId="0" builtinId="0"/>
    <cellStyle name="Normalny 6 2" xfId="1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F%2030.0.6.20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definicja"/>
      <sheetName val="DaneZrodlowe"/>
    </sheetNames>
    <sheetDataSet>
      <sheetData sheetId="0"/>
      <sheetData sheetId="1"/>
      <sheetData sheetId="2">
        <row r="1">
          <cell r="N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topLeftCell="A13" workbookViewId="0">
      <selection activeCell="B150" sqref="B150"/>
    </sheetView>
  </sheetViews>
  <sheetFormatPr defaultRowHeight="15"/>
  <cols>
    <col min="1" max="1" width="5.42578125" style="17" customWidth="1"/>
    <col min="2" max="2" width="8.85546875" customWidth="1"/>
    <col min="3" max="3" width="41.7109375" style="12" customWidth="1"/>
    <col min="4" max="4" width="11.42578125" style="13" customWidth="1"/>
    <col min="5" max="5" width="11.140625" style="13" customWidth="1"/>
    <col min="6" max="6" width="11.28515625" style="13" customWidth="1"/>
    <col min="7" max="7" width="11.140625" style="13" customWidth="1"/>
    <col min="8" max="9" width="11.42578125" style="13" customWidth="1"/>
    <col min="10" max="10" width="11" style="13" customWidth="1"/>
    <col min="11" max="11" width="11.42578125" style="13" customWidth="1"/>
    <col min="12" max="12" width="11.140625" style="13" customWidth="1"/>
    <col min="13" max="13" width="11.42578125" style="13" customWidth="1"/>
  </cols>
  <sheetData>
    <row r="1" spans="1:14" ht="25.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"/>
    </row>
    <row r="2" spans="1:14" ht="23.25" customHeight="1">
      <c r="A2" s="14" t="s">
        <v>1</v>
      </c>
      <c r="B2" s="2"/>
      <c r="C2" s="14" t="s">
        <v>2</v>
      </c>
      <c r="D2" s="20">
        <f>+[1]DaneZrodlowe!$N$1</f>
        <v>2015</v>
      </c>
      <c r="E2" s="20">
        <f>+D2+1</f>
        <v>2016</v>
      </c>
      <c r="F2" s="20">
        <f t="shared" ref="F2:M2" si="0">+E2+1</f>
        <v>2017</v>
      </c>
      <c r="G2" s="20">
        <f t="shared" si="0"/>
        <v>2018</v>
      </c>
      <c r="H2" s="20">
        <f t="shared" si="0"/>
        <v>2019</v>
      </c>
      <c r="I2" s="20">
        <f t="shared" si="0"/>
        <v>2020</v>
      </c>
      <c r="J2" s="20">
        <f t="shared" si="0"/>
        <v>2021</v>
      </c>
      <c r="K2" s="20">
        <f t="shared" si="0"/>
        <v>2022</v>
      </c>
      <c r="L2" s="20">
        <f t="shared" si="0"/>
        <v>2023</v>
      </c>
      <c r="M2" s="20">
        <f t="shared" si="0"/>
        <v>2024</v>
      </c>
      <c r="N2" s="3"/>
    </row>
    <row r="3" spans="1:14" s="6" customFormat="1" ht="21" customHeight="1">
      <c r="A3" s="94">
        <v>1</v>
      </c>
      <c r="B3" s="4" t="s">
        <v>3</v>
      </c>
      <c r="C3" s="96" t="s">
        <v>4</v>
      </c>
      <c r="D3" s="21">
        <f>D5+D18</f>
        <v>27809192</v>
      </c>
      <c r="E3" s="98">
        <f>23936000</f>
        <v>23936000</v>
      </c>
      <c r="F3" s="98">
        <f>24654000</f>
        <v>24654000</v>
      </c>
      <c r="G3" s="98">
        <f>25147000</f>
        <v>25147000</v>
      </c>
      <c r="H3" s="98">
        <f>25650000</f>
        <v>25650000</v>
      </c>
      <c r="I3" s="98">
        <f>26164000</f>
        <v>26164000</v>
      </c>
      <c r="J3" s="98">
        <f>26425000</f>
        <v>26425000</v>
      </c>
      <c r="K3" s="98">
        <f>26690000</f>
        <v>26690000</v>
      </c>
      <c r="L3" s="98">
        <f>26956000</f>
        <v>26956000</v>
      </c>
      <c r="M3" s="98">
        <f>27226000</f>
        <v>27226000</v>
      </c>
      <c r="N3" s="5"/>
    </row>
    <row r="4" spans="1:14" ht="20.25" customHeight="1">
      <c r="A4" s="95"/>
      <c r="B4" s="7" t="s">
        <v>6</v>
      </c>
      <c r="C4" s="97"/>
      <c r="D4" s="22">
        <f>29239725.7</f>
        <v>29239725.699999999</v>
      </c>
      <c r="E4" s="99"/>
      <c r="F4" s="99"/>
      <c r="G4" s="99"/>
      <c r="H4" s="99"/>
      <c r="I4" s="99"/>
      <c r="J4" s="99"/>
      <c r="K4" s="99"/>
      <c r="L4" s="99"/>
      <c r="M4" s="99"/>
      <c r="N4" s="8"/>
    </row>
    <row r="5" spans="1:14">
      <c r="A5" s="65" t="s">
        <v>7</v>
      </c>
      <c r="B5" s="9" t="s">
        <v>3</v>
      </c>
      <c r="C5" s="67" t="s">
        <v>8</v>
      </c>
      <c r="D5" s="23">
        <v>23239303</v>
      </c>
      <c r="E5" s="63">
        <f>23936000</f>
        <v>23936000</v>
      </c>
      <c r="F5" s="63">
        <f>24654000</f>
        <v>24654000</v>
      </c>
      <c r="G5" s="63">
        <f>25147000</f>
        <v>25147000</v>
      </c>
      <c r="H5" s="63">
        <f>25650000</f>
        <v>25650000</v>
      </c>
      <c r="I5" s="63">
        <f>26164000</f>
        <v>26164000</v>
      </c>
      <c r="J5" s="63">
        <f>26425000</f>
        <v>26425000</v>
      </c>
      <c r="K5" s="63">
        <f>26690000</f>
        <v>26690000</v>
      </c>
      <c r="L5" s="63">
        <f>26956000</f>
        <v>26956000</v>
      </c>
      <c r="M5" s="63">
        <f>27226000</f>
        <v>27226000</v>
      </c>
      <c r="N5" s="8"/>
    </row>
    <row r="6" spans="1:14">
      <c r="A6" s="66"/>
      <c r="B6" s="7" t="s">
        <v>6</v>
      </c>
      <c r="C6" s="68"/>
      <c r="D6" s="23">
        <f>23836388.7</f>
        <v>23836388.699999999</v>
      </c>
      <c r="E6" s="72"/>
      <c r="F6" s="72"/>
      <c r="G6" s="72"/>
      <c r="H6" s="72"/>
      <c r="I6" s="72"/>
      <c r="J6" s="72"/>
      <c r="K6" s="72"/>
      <c r="L6" s="72"/>
      <c r="M6" s="72"/>
    </row>
    <row r="7" spans="1:14">
      <c r="A7" s="65" t="s">
        <v>9</v>
      </c>
      <c r="B7" s="9" t="s">
        <v>3</v>
      </c>
      <c r="C7" s="80" t="s">
        <v>10</v>
      </c>
      <c r="D7" s="89">
        <v>7160433</v>
      </c>
      <c r="E7" s="63">
        <f>7733000</f>
        <v>7733000</v>
      </c>
      <c r="F7" s="63">
        <f>8043000</f>
        <v>8043000</v>
      </c>
      <c r="G7" s="63">
        <f>8364000</f>
        <v>8364000</v>
      </c>
      <c r="H7" s="63">
        <f>0</f>
        <v>0</v>
      </c>
      <c r="I7" s="63">
        <f>0</f>
        <v>0</v>
      </c>
      <c r="J7" s="63">
        <f>0</f>
        <v>0</v>
      </c>
      <c r="K7" s="63">
        <f>0</f>
        <v>0</v>
      </c>
      <c r="L7" s="63">
        <f>0</f>
        <v>0</v>
      </c>
      <c r="M7" s="63">
        <f>0</f>
        <v>0</v>
      </c>
    </row>
    <row r="8" spans="1:14">
      <c r="A8" s="84"/>
      <c r="B8" s="7" t="s">
        <v>6</v>
      </c>
      <c r="C8" s="81"/>
      <c r="D8" s="90"/>
      <c r="E8" s="82"/>
      <c r="F8" s="82"/>
      <c r="G8" s="82"/>
      <c r="H8" s="82"/>
      <c r="I8" s="82"/>
      <c r="J8" s="82"/>
      <c r="K8" s="82"/>
      <c r="L8" s="82"/>
      <c r="M8" s="82"/>
    </row>
    <row r="9" spans="1:14">
      <c r="A9" s="65" t="s">
        <v>11</v>
      </c>
      <c r="B9" s="9" t="s">
        <v>3</v>
      </c>
      <c r="C9" s="80" t="s">
        <v>12</v>
      </c>
      <c r="D9" s="103">
        <f>130000</f>
        <v>130000</v>
      </c>
      <c r="E9" s="105">
        <v>135000</v>
      </c>
      <c r="F9" s="105">
        <v>135000</v>
      </c>
      <c r="G9" s="105">
        <v>140000</v>
      </c>
      <c r="H9" s="63">
        <f>0</f>
        <v>0</v>
      </c>
      <c r="I9" s="63">
        <f>0</f>
        <v>0</v>
      </c>
      <c r="J9" s="63">
        <f>0</f>
        <v>0</v>
      </c>
      <c r="K9" s="63">
        <f>0</f>
        <v>0</v>
      </c>
      <c r="L9" s="63">
        <f>0</f>
        <v>0</v>
      </c>
      <c r="M9" s="63">
        <f>0</f>
        <v>0</v>
      </c>
    </row>
    <row r="10" spans="1:14">
      <c r="A10" s="66"/>
      <c r="B10" s="7" t="s">
        <v>6</v>
      </c>
      <c r="C10" s="81"/>
      <c r="D10" s="104"/>
      <c r="E10" s="106"/>
      <c r="F10" s="106"/>
      <c r="G10" s="106"/>
      <c r="H10" s="64"/>
      <c r="I10" s="64"/>
      <c r="J10" s="64"/>
      <c r="K10" s="64"/>
      <c r="L10" s="64"/>
      <c r="M10" s="64"/>
    </row>
    <row r="11" spans="1:14">
      <c r="A11" s="65" t="s">
        <v>13</v>
      </c>
      <c r="B11" s="9" t="s">
        <v>3</v>
      </c>
      <c r="C11" s="80" t="s">
        <v>14</v>
      </c>
      <c r="D11" s="24">
        <v>4915026</v>
      </c>
      <c r="E11" s="63">
        <f>5200000</f>
        <v>5200000</v>
      </c>
      <c r="F11" s="63">
        <f>5300000</f>
        <v>5300000</v>
      </c>
      <c r="G11" s="63">
        <f>5400000</f>
        <v>5400000</v>
      </c>
      <c r="H11" s="63">
        <f>0</f>
        <v>0</v>
      </c>
      <c r="I11" s="63">
        <f>0</f>
        <v>0</v>
      </c>
      <c r="J11" s="63">
        <f>0</f>
        <v>0</v>
      </c>
      <c r="K11" s="63">
        <f>0</f>
        <v>0</v>
      </c>
      <c r="L11" s="63">
        <f>0</f>
        <v>0</v>
      </c>
      <c r="M11" s="63">
        <f>0</f>
        <v>0</v>
      </c>
    </row>
    <row r="12" spans="1:14">
      <c r="A12" s="66"/>
      <c r="B12" s="7" t="s">
        <v>6</v>
      </c>
      <c r="C12" s="102"/>
      <c r="D12" s="23">
        <f>4935550</f>
        <v>4935550</v>
      </c>
      <c r="E12" s="64"/>
      <c r="F12" s="64"/>
      <c r="G12" s="64"/>
      <c r="H12" s="64"/>
      <c r="I12" s="64"/>
      <c r="J12" s="64"/>
      <c r="K12" s="64"/>
      <c r="L12" s="64"/>
      <c r="M12" s="64"/>
    </row>
    <row r="13" spans="1:14">
      <c r="A13" s="15" t="s">
        <v>15</v>
      </c>
      <c r="B13" s="19" t="s">
        <v>16</v>
      </c>
      <c r="C13" s="25" t="s">
        <v>17</v>
      </c>
      <c r="D13" s="23">
        <f>2976000</f>
        <v>2976000</v>
      </c>
      <c r="E13" s="26">
        <f>3097000</f>
        <v>3097000</v>
      </c>
      <c r="F13" s="26">
        <f>3190000</f>
        <v>3190000</v>
      </c>
      <c r="G13" s="26">
        <f>3290000</f>
        <v>3290000</v>
      </c>
      <c r="H13" s="26">
        <f>0</f>
        <v>0</v>
      </c>
      <c r="I13" s="26">
        <f>0</f>
        <v>0</v>
      </c>
      <c r="J13" s="26">
        <f>0</f>
        <v>0</v>
      </c>
      <c r="K13" s="26">
        <f>0</f>
        <v>0</v>
      </c>
      <c r="L13" s="26">
        <f>0</f>
        <v>0</v>
      </c>
      <c r="M13" s="26">
        <f>0</f>
        <v>0</v>
      </c>
    </row>
    <row r="14" spans="1:14">
      <c r="A14" s="65" t="s">
        <v>18</v>
      </c>
      <c r="B14" s="9" t="s">
        <v>3</v>
      </c>
      <c r="C14" s="80" t="s">
        <v>19</v>
      </c>
      <c r="D14" s="23">
        <v>8888305</v>
      </c>
      <c r="E14" s="63">
        <f>8650000</f>
        <v>8650000</v>
      </c>
      <c r="F14" s="63">
        <f>8911000</f>
        <v>8911000</v>
      </c>
      <c r="G14" s="63">
        <f>9100000</f>
        <v>9100000</v>
      </c>
      <c r="H14" s="63">
        <f>0</f>
        <v>0</v>
      </c>
      <c r="I14" s="63">
        <f>0</f>
        <v>0</v>
      </c>
      <c r="J14" s="63">
        <f>0</f>
        <v>0</v>
      </c>
      <c r="K14" s="63">
        <f>0</f>
        <v>0</v>
      </c>
      <c r="L14" s="63">
        <f>0</f>
        <v>0</v>
      </c>
      <c r="M14" s="63">
        <f>0</f>
        <v>0</v>
      </c>
    </row>
    <row r="15" spans="1:14">
      <c r="A15" s="84"/>
      <c r="B15" s="7" t="s">
        <v>6</v>
      </c>
      <c r="C15" s="81"/>
      <c r="D15" s="23">
        <f>8749959</f>
        <v>8749959</v>
      </c>
      <c r="E15" s="82"/>
      <c r="F15" s="82"/>
      <c r="G15" s="82"/>
      <c r="H15" s="82"/>
      <c r="I15" s="82"/>
      <c r="J15" s="82"/>
      <c r="K15" s="82"/>
      <c r="L15" s="82"/>
      <c r="M15" s="82"/>
    </row>
    <row r="16" spans="1:14">
      <c r="A16" s="65" t="s">
        <v>20</v>
      </c>
      <c r="B16" s="9" t="s">
        <v>3</v>
      </c>
      <c r="C16" s="80" t="s">
        <v>21</v>
      </c>
      <c r="D16" s="23">
        <v>1791831</v>
      </c>
      <c r="E16" s="63">
        <f>0</f>
        <v>0</v>
      </c>
      <c r="F16" s="63">
        <f>0</f>
        <v>0</v>
      </c>
      <c r="G16" s="63">
        <f>0</f>
        <v>0</v>
      </c>
      <c r="H16" s="63">
        <f>0</f>
        <v>0</v>
      </c>
      <c r="I16" s="63">
        <f>0</f>
        <v>0</v>
      </c>
      <c r="J16" s="63">
        <f>0</f>
        <v>0</v>
      </c>
      <c r="K16" s="63">
        <f>0</f>
        <v>0</v>
      </c>
      <c r="L16" s="63">
        <f>0</f>
        <v>0</v>
      </c>
      <c r="M16" s="63">
        <f>0</f>
        <v>0</v>
      </c>
    </row>
    <row r="17" spans="1:14">
      <c r="A17" s="66"/>
      <c r="B17" s="7" t="s">
        <v>6</v>
      </c>
      <c r="C17" s="81"/>
      <c r="D17" s="23">
        <f>2496203.7</f>
        <v>2496203.7000000002</v>
      </c>
      <c r="E17" s="64"/>
      <c r="F17" s="64"/>
      <c r="G17" s="64"/>
      <c r="H17" s="64"/>
      <c r="I17" s="64"/>
      <c r="J17" s="64"/>
      <c r="K17" s="64"/>
      <c r="L17" s="64"/>
      <c r="M17" s="64"/>
    </row>
    <row r="18" spans="1:14">
      <c r="A18" s="65" t="s">
        <v>22</v>
      </c>
      <c r="B18" s="9" t="s">
        <v>3</v>
      </c>
      <c r="C18" s="83" t="s">
        <v>23</v>
      </c>
      <c r="D18" s="23">
        <v>4569889</v>
      </c>
      <c r="E18" s="63">
        <f>0</f>
        <v>0</v>
      </c>
      <c r="F18" s="63">
        <f>0</f>
        <v>0</v>
      </c>
      <c r="G18" s="63">
        <f>0</f>
        <v>0</v>
      </c>
      <c r="H18" s="63">
        <f>0</f>
        <v>0</v>
      </c>
      <c r="I18" s="63">
        <f>0</f>
        <v>0</v>
      </c>
      <c r="J18" s="63">
        <f>0</f>
        <v>0</v>
      </c>
      <c r="K18" s="63">
        <f>0</f>
        <v>0</v>
      </c>
      <c r="L18" s="63">
        <f>0</f>
        <v>0</v>
      </c>
      <c r="M18" s="63">
        <f>0</f>
        <v>0</v>
      </c>
    </row>
    <row r="19" spans="1:14">
      <c r="A19" s="84"/>
      <c r="B19" s="7" t="s">
        <v>6</v>
      </c>
      <c r="C19" s="81"/>
      <c r="D19" s="23">
        <f>5403337</f>
        <v>5403337</v>
      </c>
      <c r="E19" s="82"/>
      <c r="F19" s="82"/>
      <c r="G19" s="82"/>
      <c r="H19" s="82"/>
      <c r="I19" s="82"/>
      <c r="J19" s="82"/>
      <c r="K19" s="82"/>
      <c r="L19" s="82"/>
      <c r="M19" s="82"/>
    </row>
    <row r="20" spans="1:14">
      <c r="A20" s="15" t="s">
        <v>24</v>
      </c>
      <c r="B20" s="7" t="s">
        <v>16</v>
      </c>
      <c r="C20" s="27" t="s">
        <v>25</v>
      </c>
      <c r="D20" s="23">
        <f>2795280</f>
        <v>2795280</v>
      </c>
      <c r="E20" s="26">
        <f>0</f>
        <v>0</v>
      </c>
      <c r="F20" s="26">
        <f>0</f>
        <v>0</v>
      </c>
      <c r="G20" s="26">
        <f>0</f>
        <v>0</v>
      </c>
      <c r="H20" s="26">
        <f>0</f>
        <v>0</v>
      </c>
      <c r="I20" s="26">
        <f>0</f>
        <v>0</v>
      </c>
      <c r="J20" s="26">
        <f>0</f>
        <v>0</v>
      </c>
      <c r="K20" s="26">
        <f>0</f>
        <v>0</v>
      </c>
      <c r="L20" s="26">
        <f>0</f>
        <v>0</v>
      </c>
      <c r="M20" s="26">
        <f>0</f>
        <v>0</v>
      </c>
    </row>
    <row r="21" spans="1:14">
      <c r="A21" s="65" t="s">
        <v>26</v>
      </c>
      <c r="B21" s="9" t="s">
        <v>3</v>
      </c>
      <c r="C21" s="80" t="s">
        <v>27</v>
      </c>
      <c r="D21" s="23">
        <v>1767163</v>
      </c>
      <c r="E21" s="63">
        <f>0</f>
        <v>0</v>
      </c>
      <c r="F21" s="63">
        <f>0</f>
        <v>0</v>
      </c>
      <c r="G21" s="63">
        <f>0</f>
        <v>0</v>
      </c>
      <c r="H21" s="63">
        <f>0</f>
        <v>0</v>
      </c>
      <c r="I21" s="63">
        <f>0</f>
        <v>0</v>
      </c>
      <c r="J21" s="63">
        <f>0</f>
        <v>0</v>
      </c>
      <c r="K21" s="63">
        <f>0</f>
        <v>0</v>
      </c>
      <c r="L21" s="63">
        <f>0</f>
        <v>0</v>
      </c>
      <c r="M21" s="63">
        <f>0</f>
        <v>0</v>
      </c>
    </row>
    <row r="22" spans="1:14">
      <c r="A22" s="84"/>
      <c r="B22" s="7" t="s">
        <v>6</v>
      </c>
      <c r="C22" s="102"/>
      <c r="D22" s="23">
        <f>2600611</f>
        <v>2600611</v>
      </c>
      <c r="E22" s="82"/>
      <c r="F22" s="82"/>
      <c r="G22" s="82"/>
      <c r="H22" s="82"/>
      <c r="I22" s="82"/>
      <c r="J22" s="82"/>
      <c r="K22" s="82"/>
      <c r="L22" s="82"/>
      <c r="M22" s="82"/>
    </row>
    <row r="23" spans="1:14" ht="20.25" customHeight="1">
      <c r="A23" s="91">
        <v>2</v>
      </c>
      <c r="B23" s="9" t="s">
        <v>3</v>
      </c>
      <c r="C23" s="92" t="s">
        <v>28</v>
      </c>
      <c r="D23" s="22">
        <v>28204057</v>
      </c>
      <c r="E23" s="88">
        <f>22958464.67</f>
        <v>22958464.670000002</v>
      </c>
      <c r="F23" s="28">
        <v>23676465</v>
      </c>
      <c r="G23" s="28">
        <v>24219085</v>
      </c>
      <c r="H23" s="28">
        <v>24812049</v>
      </c>
      <c r="I23" s="28">
        <v>25520049</v>
      </c>
      <c r="J23" s="28">
        <v>25645749</v>
      </c>
      <c r="K23" s="28">
        <v>25910749</v>
      </c>
      <c r="L23" s="28">
        <v>26254549</v>
      </c>
      <c r="M23" s="28">
        <v>26771650</v>
      </c>
    </row>
    <row r="24" spans="1:14" ht="20.25" customHeight="1">
      <c r="A24" s="66"/>
      <c r="B24" s="7" t="s">
        <v>6</v>
      </c>
      <c r="C24" s="68"/>
      <c r="D24" s="22">
        <f>30158379.7</f>
        <v>30158379.699999999</v>
      </c>
      <c r="E24" s="64"/>
      <c r="F24" s="29">
        <f>23617265</f>
        <v>23617265</v>
      </c>
      <c r="G24" s="29">
        <f>24159885</f>
        <v>24159885</v>
      </c>
      <c r="H24" s="29">
        <f>24752849</f>
        <v>24752849</v>
      </c>
      <c r="I24" s="29">
        <f>25460849</f>
        <v>25460849</v>
      </c>
      <c r="J24" s="29">
        <f>25704949</f>
        <v>25704949</v>
      </c>
      <c r="K24" s="29">
        <f>25969949</f>
        <v>25969949</v>
      </c>
      <c r="L24" s="29">
        <f>26313749</f>
        <v>26313749</v>
      </c>
      <c r="M24" s="29">
        <f>26830850</f>
        <v>26830850</v>
      </c>
      <c r="N24" s="8"/>
    </row>
    <row r="25" spans="1:14">
      <c r="A25" s="65" t="s">
        <v>29</v>
      </c>
      <c r="B25" s="9" t="s">
        <v>3</v>
      </c>
      <c r="C25" s="67" t="s">
        <v>30</v>
      </c>
      <c r="D25" s="22">
        <v>21653755</v>
      </c>
      <c r="E25" s="63">
        <f>22087000</f>
        <v>22087000</v>
      </c>
      <c r="F25" s="63">
        <f>22529000</f>
        <v>22529000</v>
      </c>
      <c r="G25" s="63">
        <f>22755000</f>
        <v>22755000</v>
      </c>
      <c r="H25" s="63">
        <f>22982000</f>
        <v>22982000</v>
      </c>
      <c r="I25" s="63">
        <f>23212000</f>
        <v>23212000</v>
      </c>
      <c r="J25" s="63">
        <f>23444000</f>
        <v>23444000</v>
      </c>
      <c r="K25" s="63">
        <f>23678000</f>
        <v>23678000</v>
      </c>
      <c r="L25" s="63">
        <f>23915000</f>
        <v>23915000</v>
      </c>
      <c r="M25" s="63">
        <f>24154000</f>
        <v>24154000</v>
      </c>
      <c r="N25" s="8"/>
    </row>
    <row r="26" spans="1:14">
      <c r="A26" s="66"/>
      <c r="B26" s="7" t="s">
        <v>6</v>
      </c>
      <c r="C26" s="68"/>
      <c r="D26" s="23">
        <f>22357802.7</f>
        <v>22357802.699999999</v>
      </c>
      <c r="E26" s="64"/>
      <c r="F26" s="64"/>
      <c r="G26" s="64"/>
      <c r="H26" s="64"/>
      <c r="I26" s="64"/>
      <c r="J26" s="64"/>
      <c r="K26" s="64"/>
      <c r="L26" s="64"/>
      <c r="M26" s="64"/>
    </row>
    <row r="27" spans="1:14">
      <c r="A27" s="15" t="s">
        <v>31</v>
      </c>
      <c r="B27" s="73" t="s">
        <v>32</v>
      </c>
      <c r="C27" s="27" t="s">
        <v>33</v>
      </c>
      <c r="D27" s="23">
        <f>0</f>
        <v>0</v>
      </c>
      <c r="E27" s="26">
        <f>0</f>
        <v>0</v>
      </c>
      <c r="F27" s="26">
        <f>0</f>
        <v>0</v>
      </c>
      <c r="G27" s="26">
        <f>0</f>
        <v>0</v>
      </c>
      <c r="H27" s="26">
        <f>0</f>
        <v>0</v>
      </c>
      <c r="I27" s="26">
        <f>0</f>
        <v>0</v>
      </c>
      <c r="J27" s="26">
        <f>0</f>
        <v>0</v>
      </c>
      <c r="K27" s="26">
        <f>0</f>
        <v>0</v>
      </c>
      <c r="L27" s="26">
        <f>0</f>
        <v>0</v>
      </c>
      <c r="M27" s="26">
        <f>0</f>
        <v>0</v>
      </c>
    </row>
    <row r="28" spans="1:14" ht="33.75">
      <c r="A28" s="15" t="s">
        <v>34</v>
      </c>
      <c r="B28" s="76"/>
      <c r="C28" s="25" t="s">
        <v>35</v>
      </c>
      <c r="D28" s="23">
        <f>0</f>
        <v>0</v>
      </c>
      <c r="E28" s="26">
        <f>0</f>
        <v>0</v>
      </c>
      <c r="F28" s="26">
        <f>0</f>
        <v>0</v>
      </c>
      <c r="G28" s="26">
        <f>0</f>
        <v>0</v>
      </c>
      <c r="H28" s="26">
        <f>0</f>
        <v>0</v>
      </c>
      <c r="I28" s="26">
        <f>0</f>
        <v>0</v>
      </c>
      <c r="J28" s="26">
        <f>0</f>
        <v>0</v>
      </c>
      <c r="K28" s="26">
        <f>0</f>
        <v>0</v>
      </c>
      <c r="L28" s="26">
        <f>0</f>
        <v>0</v>
      </c>
      <c r="M28" s="26">
        <f>0</f>
        <v>0</v>
      </c>
    </row>
    <row r="29" spans="1:14" ht="56.25">
      <c r="A29" s="15" t="s">
        <v>36</v>
      </c>
      <c r="B29" s="76"/>
      <c r="C29" s="27" t="s">
        <v>37</v>
      </c>
      <c r="D29" s="23">
        <f>0</f>
        <v>0</v>
      </c>
      <c r="E29" s="26">
        <f>0</f>
        <v>0</v>
      </c>
      <c r="F29" s="26">
        <f>0</f>
        <v>0</v>
      </c>
      <c r="G29" s="26">
        <f>0</f>
        <v>0</v>
      </c>
      <c r="H29" s="26">
        <f>0</f>
        <v>0</v>
      </c>
      <c r="I29" s="26">
        <f>0</f>
        <v>0</v>
      </c>
      <c r="J29" s="26">
        <f>0</f>
        <v>0</v>
      </c>
      <c r="K29" s="26">
        <f>0</f>
        <v>0</v>
      </c>
      <c r="L29" s="26">
        <f>0</f>
        <v>0</v>
      </c>
      <c r="M29" s="26">
        <f>0</f>
        <v>0</v>
      </c>
    </row>
    <row r="30" spans="1:14" ht="21" customHeight="1">
      <c r="A30" s="15" t="s">
        <v>38</v>
      </c>
      <c r="B30" s="76"/>
      <c r="C30" s="27" t="s">
        <v>39</v>
      </c>
      <c r="D30" s="23">
        <f>315000</f>
        <v>315000</v>
      </c>
      <c r="E30" s="26">
        <f>326000</f>
        <v>326000</v>
      </c>
      <c r="F30" s="26">
        <f>285000</f>
        <v>285000</v>
      </c>
      <c r="G30" s="26">
        <f>244000</f>
        <v>244000</v>
      </c>
      <c r="H30" s="26">
        <f>202000</f>
        <v>202000</v>
      </c>
      <c r="I30" s="26">
        <f>163000</f>
        <v>163000</v>
      </c>
      <c r="J30" s="26">
        <f>130000</f>
        <v>130000</v>
      </c>
      <c r="K30" s="26">
        <f>90000</f>
        <v>90000</v>
      </c>
      <c r="L30" s="26">
        <f>51000</f>
        <v>51000</v>
      </c>
      <c r="M30" s="26">
        <f>18000</f>
        <v>18000</v>
      </c>
    </row>
    <row r="31" spans="1:14" ht="22.5">
      <c r="A31" s="15" t="s">
        <v>40</v>
      </c>
      <c r="B31" s="76"/>
      <c r="C31" s="25" t="s">
        <v>41</v>
      </c>
      <c r="D31" s="23">
        <f>300000</f>
        <v>300000</v>
      </c>
      <c r="E31" s="26">
        <f>326000</f>
        <v>326000</v>
      </c>
      <c r="F31" s="26">
        <f>285000</f>
        <v>285000</v>
      </c>
      <c r="G31" s="26">
        <f>244000</f>
        <v>244000</v>
      </c>
      <c r="H31" s="26">
        <f>202000</f>
        <v>202000</v>
      </c>
      <c r="I31" s="26">
        <f>163000</f>
        <v>163000</v>
      </c>
      <c r="J31" s="26">
        <f>130000</f>
        <v>130000</v>
      </c>
      <c r="K31" s="26">
        <f>90000</f>
        <v>90000</v>
      </c>
      <c r="L31" s="26">
        <f>51000</f>
        <v>51000</v>
      </c>
      <c r="M31" s="26">
        <f>18000</f>
        <v>18000</v>
      </c>
    </row>
    <row r="32" spans="1:14" ht="67.5">
      <c r="A32" s="15" t="s">
        <v>42</v>
      </c>
      <c r="B32" s="77"/>
      <c r="C32" s="30" t="s">
        <v>43</v>
      </c>
      <c r="D32" s="23">
        <f>0</f>
        <v>0</v>
      </c>
      <c r="E32" s="26">
        <f>0</f>
        <v>0</v>
      </c>
      <c r="F32" s="26">
        <f>0</f>
        <v>0</v>
      </c>
      <c r="G32" s="26">
        <f>0</f>
        <v>0</v>
      </c>
      <c r="H32" s="26">
        <f>0</f>
        <v>0</v>
      </c>
      <c r="I32" s="26">
        <f>0</f>
        <v>0</v>
      </c>
      <c r="J32" s="26">
        <f>0</f>
        <v>0</v>
      </c>
      <c r="K32" s="26">
        <f>0</f>
        <v>0</v>
      </c>
      <c r="L32" s="26">
        <f>0</f>
        <v>0</v>
      </c>
      <c r="M32" s="26">
        <f>0</f>
        <v>0</v>
      </c>
    </row>
    <row r="33" spans="1:14">
      <c r="A33" s="14" t="s">
        <v>1</v>
      </c>
      <c r="B33" s="2"/>
      <c r="C33" s="14" t="s">
        <v>2</v>
      </c>
      <c r="D33" s="20">
        <f>+[1]DaneZrodlowe!$N$1</f>
        <v>2015</v>
      </c>
      <c r="E33" s="20">
        <f>+D33+1</f>
        <v>2016</v>
      </c>
      <c r="F33" s="20">
        <f t="shared" ref="F33" si="1">+E33+1</f>
        <v>2017</v>
      </c>
      <c r="G33" s="20">
        <f t="shared" ref="G33" si="2">+F33+1</f>
        <v>2018</v>
      </c>
      <c r="H33" s="20">
        <f t="shared" ref="H33" si="3">+G33+1</f>
        <v>2019</v>
      </c>
      <c r="I33" s="20">
        <f t="shared" ref="I33" si="4">+H33+1</f>
        <v>2020</v>
      </c>
      <c r="J33" s="20">
        <f t="shared" ref="J33" si="5">+I33+1</f>
        <v>2021</v>
      </c>
      <c r="K33" s="20">
        <f t="shared" ref="K33" si="6">+J33+1</f>
        <v>2022</v>
      </c>
      <c r="L33" s="20">
        <f t="shared" ref="L33" si="7">+K33+1</f>
        <v>2023</v>
      </c>
      <c r="M33" s="20">
        <f t="shared" ref="M33" si="8">+L33+1</f>
        <v>2024</v>
      </c>
      <c r="N33" s="3"/>
    </row>
    <row r="34" spans="1:14" ht="45">
      <c r="A34" s="55" t="s">
        <v>44</v>
      </c>
      <c r="B34" s="56" t="s">
        <v>198</v>
      </c>
      <c r="C34" s="30" t="s">
        <v>45</v>
      </c>
      <c r="D34" s="23">
        <f>0</f>
        <v>0</v>
      </c>
      <c r="E34" s="26">
        <f>0</f>
        <v>0</v>
      </c>
      <c r="F34" s="26">
        <f>0</f>
        <v>0</v>
      </c>
      <c r="G34" s="26">
        <f>0</f>
        <v>0</v>
      </c>
      <c r="H34" s="26">
        <f>0</f>
        <v>0</v>
      </c>
      <c r="I34" s="26">
        <f>0</f>
        <v>0</v>
      </c>
      <c r="J34" s="26">
        <f>0</f>
        <v>0</v>
      </c>
      <c r="K34" s="26">
        <f>0</f>
        <v>0</v>
      </c>
      <c r="L34" s="26">
        <f>0</f>
        <v>0</v>
      </c>
      <c r="M34" s="26">
        <f>0</f>
        <v>0</v>
      </c>
    </row>
    <row r="35" spans="1:14">
      <c r="A35" s="65" t="s">
        <v>46</v>
      </c>
      <c r="B35" s="9" t="s">
        <v>3</v>
      </c>
      <c r="C35" s="83" t="s">
        <v>47</v>
      </c>
      <c r="D35" s="23">
        <v>6550302</v>
      </c>
      <c r="E35" s="63">
        <f>871464.67</f>
        <v>871464.67</v>
      </c>
      <c r="F35" s="26">
        <v>1147465</v>
      </c>
      <c r="G35" s="26">
        <v>1464085</v>
      </c>
      <c r="H35" s="26">
        <v>1830049</v>
      </c>
      <c r="I35" s="26">
        <v>2308049</v>
      </c>
      <c r="J35" s="26">
        <v>2201749</v>
      </c>
      <c r="K35" s="26">
        <v>2232749</v>
      </c>
      <c r="L35" s="26">
        <v>2339549</v>
      </c>
      <c r="M35" s="26">
        <v>2617650</v>
      </c>
    </row>
    <row r="36" spans="1:14">
      <c r="A36" s="84"/>
      <c r="B36" s="7" t="s">
        <v>6</v>
      </c>
      <c r="C36" s="81"/>
      <c r="D36" s="23">
        <f>7800577</f>
        <v>7800577</v>
      </c>
      <c r="E36" s="82"/>
      <c r="F36" s="26">
        <f>1088265</f>
        <v>1088265</v>
      </c>
      <c r="G36" s="26">
        <f>1404885</f>
        <v>1404885</v>
      </c>
      <c r="H36" s="26">
        <f>1770849</f>
        <v>1770849</v>
      </c>
      <c r="I36" s="26">
        <f>2248849</f>
        <v>2248849</v>
      </c>
      <c r="J36" s="26">
        <f>2260949</f>
        <v>2260949</v>
      </c>
      <c r="K36" s="26">
        <f>2291949</f>
        <v>2291949</v>
      </c>
      <c r="L36" s="26">
        <f>2398749</f>
        <v>2398749</v>
      </c>
      <c r="M36" s="26">
        <f>2676850</f>
        <v>2676850</v>
      </c>
    </row>
    <row r="37" spans="1:14">
      <c r="A37" s="91">
        <v>3</v>
      </c>
      <c r="B37" s="9" t="s">
        <v>3</v>
      </c>
      <c r="C37" s="92" t="s">
        <v>48</v>
      </c>
      <c r="D37" s="23">
        <v>-394865</v>
      </c>
      <c r="E37" s="88">
        <f>977535.33</f>
        <v>977535.33</v>
      </c>
      <c r="F37" s="26">
        <v>977535</v>
      </c>
      <c r="G37" s="26">
        <v>927915</v>
      </c>
      <c r="H37" s="26">
        <v>837951</v>
      </c>
      <c r="I37" s="26">
        <v>643951</v>
      </c>
      <c r="J37" s="26">
        <v>779251</v>
      </c>
      <c r="K37" s="26">
        <v>779251</v>
      </c>
      <c r="L37" s="26">
        <v>701451</v>
      </c>
      <c r="M37" s="26">
        <v>454350</v>
      </c>
    </row>
    <row r="38" spans="1:14">
      <c r="A38" s="66"/>
      <c r="B38" s="7" t="s">
        <v>6</v>
      </c>
      <c r="C38" s="68"/>
      <c r="D38" s="22">
        <f>-918654</f>
        <v>-918654</v>
      </c>
      <c r="E38" s="64"/>
      <c r="F38" s="29">
        <f>1036735</f>
        <v>1036735</v>
      </c>
      <c r="G38" s="29">
        <f>987115</f>
        <v>987115</v>
      </c>
      <c r="H38" s="29">
        <f>897151</f>
        <v>897151</v>
      </c>
      <c r="I38" s="29">
        <f>703151</f>
        <v>703151</v>
      </c>
      <c r="J38" s="29">
        <f>720051</f>
        <v>720051</v>
      </c>
      <c r="K38" s="29">
        <f>720051</f>
        <v>720051</v>
      </c>
      <c r="L38" s="29">
        <f>642251</f>
        <v>642251</v>
      </c>
      <c r="M38" s="29">
        <f>395150</f>
        <v>395150</v>
      </c>
      <c r="N38" s="8"/>
    </row>
    <row r="39" spans="1:14">
      <c r="A39" s="91">
        <v>4</v>
      </c>
      <c r="B39" s="9" t="s">
        <v>3</v>
      </c>
      <c r="C39" s="92" t="s">
        <v>49</v>
      </c>
      <c r="D39" s="22">
        <v>1301200</v>
      </c>
      <c r="E39" s="88">
        <f>0</f>
        <v>0</v>
      </c>
      <c r="F39" s="88">
        <f>0</f>
        <v>0</v>
      </c>
      <c r="G39" s="88">
        <f>0</f>
        <v>0</v>
      </c>
      <c r="H39" s="88">
        <f>0</f>
        <v>0</v>
      </c>
      <c r="I39" s="88">
        <f>0</f>
        <v>0</v>
      </c>
      <c r="J39" s="88">
        <f>0</f>
        <v>0</v>
      </c>
      <c r="K39" s="88">
        <f>0</f>
        <v>0</v>
      </c>
      <c r="L39" s="88">
        <f>0</f>
        <v>0</v>
      </c>
      <c r="M39" s="88">
        <f>0</f>
        <v>0</v>
      </c>
      <c r="N39" s="8"/>
    </row>
    <row r="40" spans="1:14">
      <c r="A40" s="66"/>
      <c r="B40" s="7" t="s">
        <v>6</v>
      </c>
      <c r="C40" s="68"/>
      <c r="D40" s="22">
        <f>1824989</f>
        <v>1824989</v>
      </c>
      <c r="E40" s="64"/>
      <c r="F40" s="64"/>
      <c r="G40" s="64"/>
      <c r="H40" s="64"/>
      <c r="I40" s="64"/>
      <c r="J40" s="64"/>
      <c r="K40" s="64"/>
      <c r="L40" s="64"/>
      <c r="M40" s="64"/>
      <c r="N40" s="8"/>
    </row>
    <row r="41" spans="1:14">
      <c r="A41" s="15" t="s">
        <v>50</v>
      </c>
      <c r="B41" s="69" t="s">
        <v>51</v>
      </c>
      <c r="C41" s="31" t="s">
        <v>52</v>
      </c>
      <c r="D41" s="23">
        <f>0</f>
        <v>0</v>
      </c>
      <c r="E41" s="26">
        <f>0</f>
        <v>0</v>
      </c>
      <c r="F41" s="26">
        <f>0</f>
        <v>0</v>
      </c>
      <c r="G41" s="26">
        <f>0</f>
        <v>0</v>
      </c>
      <c r="H41" s="26">
        <f>0</f>
        <v>0</v>
      </c>
      <c r="I41" s="26">
        <f>0</f>
        <v>0</v>
      </c>
      <c r="J41" s="26">
        <f>0</f>
        <v>0</v>
      </c>
      <c r="K41" s="26">
        <f>0</f>
        <v>0</v>
      </c>
      <c r="L41" s="26">
        <f>0</f>
        <v>0</v>
      </c>
      <c r="M41" s="26">
        <f>0</f>
        <v>0</v>
      </c>
    </row>
    <row r="42" spans="1:14">
      <c r="A42" s="15" t="s">
        <v>53</v>
      </c>
      <c r="B42" s="69"/>
      <c r="C42" s="27" t="s">
        <v>54</v>
      </c>
      <c r="D42" s="23">
        <f>0</f>
        <v>0</v>
      </c>
      <c r="E42" s="26">
        <f>0</f>
        <v>0</v>
      </c>
      <c r="F42" s="26">
        <f>0</f>
        <v>0</v>
      </c>
      <c r="G42" s="26">
        <f>0</f>
        <v>0</v>
      </c>
      <c r="H42" s="26">
        <f>0</f>
        <v>0</v>
      </c>
      <c r="I42" s="26">
        <f>0</f>
        <v>0</v>
      </c>
      <c r="J42" s="26">
        <f>0</f>
        <v>0</v>
      </c>
      <c r="K42" s="26">
        <f>0</f>
        <v>0</v>
      </c>
      <c r="L42" s="26">
        <f>0</f>
        <v>0</v>
      </c>
      <c r="M42" s="26">
        <f>0</f>
        <v>0</v>
      </c>
    </row>
    <row r="43" spans="1:14">
      <c r="A43" s="65" t="s">
        <v>55</v>
      </c>
      <c r="B43" s="9" t="s">
        <v>3</v>
      </c>
      <c r="C43" s="83" t="s">
        <v>56</v>
      </c>
      <c r="D43" s="23">
        <v>0</v>
      </c>
      <c r="E43" s="63">
        <f>0</f>
        <v>0</v>
      </c>
      <c r="F43" s="63">
        <f>0</f>
        <v>0</v>
      </c>
      <c r="G43" s="63">
        <f>0</f>
        <v>0</v>
      </c>
      <c r="H43" s="63">
        <f>0</f>
        <v>0</v>
      </c>
      <c r="I43" s="63">
        <f>0</f>
        <v>0</v>
      </c>
      <c r="J43" s="63">
        <f>0</f>
        <v>0</v>
      </c>
      <c r="K43" s="63">
        <f>0</f>
        <v>0</v>
      </c>
      <c r="L43" s="63">
        <f>0</f>
        <v>0</v>
      </c>
      <c r="M43" s="63">
        <f>0</f>
        <v>0</v>
      </c>
    </row>
    <row r="44" spans="1:14">
      <c r="A44" s="84"/>
      <c r="B44" s="7" t="s">
        <v>6</v>
      </c>
      <c r="C44" s="81"/>
      <c r="D44" s="23">
        <f>523789</f>
        <v>523789</v>
      </c>
      <c r="E44" s="82"/>
      <c r="F44" s="82"/>
      <c r="G44" s="82"/>
      <c r="H44" s="82"/>
      <c r="I44" s="82"/>
      <c r="J44" s="82"/>
      <c r="K44" s="82"/>
      <c r="L44" s="82"/>
      <c r="M44" s="82"/>
    </row>
    <row r="45" spans="1:14">
      <c r="A45" s="65" t="s">
        <v>57</v>
      </c>
      <c r="B45" s="9" t="s">
        <v>3</v>
      </c>
      <c r="C45" s="80" t="s">
        <v>54</v>
      </c>
      <c r="D45" s="23">
        <v>0</v>
      </c>
      <c r="E45" s="63">
        <f>0</f>
        <v>0</v>
      </c>
      <c r="F45" s="63">
        <f>0</f>
        <v>0</v>
      </c>
      <c r="G45" s="63">
        <f>0</f>
        <v>0</v>
      </c>
      <c r="H45" s="63">
        <f>0</f>
        <v>0</v>
      </c>
      <c r="I45" s="63">
        <f>0</f>
        <v>0</v>
      </c>
      <c r="J45" s="63">
        <f>0</f>
        <v>0</v>
      </c>
      <c r="K45" s="63">
        <f>0</f>
        <v>0</v>
      </c>
      <c r="L45" s="63">
        <f>0</f>
        <v>0</v>
      </c>
      <c r="M45" s="63">
        <f>0</f>
        <v>0</v>
      </c>
    </row>
    <row r="46" spans="1:14">
      <c r="A46" s="66"/>
      <c r="B46" s="7" t="s">
        <v>6</v>
      </c>
      <c r="C46" s="81"/>
      <c r="D46" s="23">
        <f>523789</f>
        <v>523789</v>
      </c>
      <c r="E46" s="64"/>
      <c r="F46" s="64"/>
      <c r="G46" s="64"/>
      <c r="H46" s="64"/>
      <c r="I46" s="64"/>
      <c r="J46" s="64"/>
      <c r="K46" s="64"/>
      <c r="L46" s="64"/>
      <c r="M46" s="64"/>
    </row>
    <row r="47" spans="1:14">
      <c r="A47" s="15" t="s">
        <v>58</v>
      </c>
      <c r="B47" s="69" t="s">
        <v>59</v>
      </c>
      <c r="C47" s="31" t="s">
        <v>60</v>
      </c>
      <c r="D47" s="23">
        <f>1301200</f>
        <v>1301200</v>
      </c>
      <c r="E47" s="26">
        <f>0</f>
        <v>0</v>
      </c>
      <c r="F47" s="26">
        <f>0</f>
        <v>0</v>
      </c>
      <c r="G47" s="26">
        <f>0</f>
        <v>0</v>
      </c>
      <c r="H47" s="26">
        <f>0</f>
        <v>0</v>
      </c>
      <c r="I47" s="26">
        <f>0</f>
        <v>0</v>
      </c>
      <c r="J47" s="26">
        <f>0</f>
        <v>0</v>
      </c>
      <c r="K47" s="26">
        <f>0</f>
        <v>0</v>
      </c>
      <c r="L47" s="26">
        <f>0</f>
        <v>0</v>
      </c>
      <c r="M47" s="26">
        <f>0</f>
        <v>0</v>
      </c>
    </row>
    <row r="48" spans="1:14">
      <c r="A48" s="15" t="s">
        <v>61</v>
      </c>
      <c r="B48" s="69"/>
      <c r="C48" s="27" t="s">
        <v>54</v>
      </c>
      <c r="D48" s="23">
        <f>394865</f>
        <v>394865</v>
      </c>
      <c r="E48" s="26">
        <f>0</f>
        <v>0</v>
      </c>
      <c r="F48" s="26">
        <f>0</f>
        <v>0</v>
      </c>
      <c r="G48" s="26">
        <f>0</f>
        <v>0</v>
      </c>
      <c r="H48" s="26">
        <f>0</f>
        <v>0</v>
      </c>
      <c r="I48" s="26">
        <f>0</f>
        <v>0</v>
      </c>
      <c r="J48" s="26">
        <f>0</f>
        <v>0</v>
      </c>
      <c r="K48" s="26">
        <f>0</f>
        <v>0</v>
      </c>
      <c r="L48" s="26">
        <f>0</f>
        <v>0</v>
      </c>
      <c r="M48" s="26">
        <f>0</f>
        <v>0</v>
      </c>
    </row>
    <row r="49" spans="1:14">
      <c r="A49" s="15" t="s">
        <v>62</v>
      </c>
      <c r="B49" s="69"/>
      <c r="C49" s="31" t="s">
        <v>63</v>
      </c>
      <c r="D49" s="23">
        <f>0</f>
        <v>0</v>
      </c>
      <c r="E49" s="26">
        <f>0</f>
        <v>0</v>
      </c>
      <c r="F49" s="26">
        <f>0</f>
        <v>0</v>
      </c>
      <c r="G49" s="26">
        <f>0</f>
        <v>0</v>
      </c>
      <c r="H49" s="26">
        <f>0</f>
        <v>0</v>
      </c>
      <c r="I49" s="26">
        <f>0</f>
        <v>0</v>
      </c>
      <c r="J49" s="26">
        <f>0</f>
        <v>0</v>
      </c>
      <c r="K49" s="26">
        <f>0</f>
        <v>0</v>
      </c>
      <c r="L49" s="26">
        <f>0</f>
        <v>0</v>
      </c>
      <c r="M49" s="26">
        <f>0</f>
        <v>0</v>
      </c>
    </row>
    <row r="50" spans="1:14">
      <c r="A50" s="15" t="s">
        <v>64</v>
      </c>
      <c r="B50" s="69"/>
      <c r="C50" s="27" t="s">
        <v>54</v>
      </c>
      <c r="D50" s="23">
        <f>0</f>
        <v>0</v>
      </c>
      <c r="E50" s="26">
        <f>0</f>
        <v>0</v>
      </c>
      <c r="F50" s="26">
        <f>0</f>
        <v>0</v>
      </c>
      <c r="G50" s="26">
        <f>0</f>
        <v>0</v>
      </c>
      <c r="H50" s="26">
        <f>0</f>
        <v>0</v>
      </c>
      <c r="I50" s="26">
        <f>0</f>
        <v>0</v>
      </c>
      <c r="J50" s="26">
        <f>0</f>
        <v>0</v>
      </c>
      <c r="K50" s="26">
        <f>0</f>
        <v>0</v>
      </c>
      <c r="L50" s="26">
        <f>0</f>
        <v>0</v>
      </c>
      <c r="M50" s="26">
        <f>0</f>
        <v>0</v>
      </c>
    </row>
    <row r="51" spans="1:14">
      <c r="A51" s="91">
        <v>5</v>
      </c>
      <c r="B51" s="9" t="s">
        <v>3</v>
      </c>
      <c r="C51" s="92" t="s">
        <v>65</v>
      </c>
      <c r="D51" s="93">
        <f>906335</f>
        <v>906335</v>
      </c>
      <c r="E51" s="88">
        <f>977535.33</f>
        <v>977535.33</v>
      </c>
      <c r="F51" s="26">
        <v>977535</v>
      </c>
      <c r="G51" s="26">
        <v>927915</v>
      </c>
      <c r="H51" s="29">
        <v>837951</v>
      </c>
      <c r="I51" s="29">
        <v>643951</v>
      </c>
      <c r="J51" s="29">
        <v>779251</v>
      </c>
      <c r="K51" s="29">
        <v>779451</v>
      </c>
      <c r="L51" s="29">
        <v>701451</v>
      </c>
      <c r="M51" s="29">
        <v>454350</v>
      </c>
    </row>
    <row r="52" spans="1:14">
      <c r="A52" s="66"/>
      <c r="B52" s="7" t="s">
        <v>6</v>
      </c>
      <c r="C52" s="68"/>
      <c r="D52" s="90"/>
      <c r="E52" s="64"/>
      <c r="F52" s="29">
        <f>1036735</f>
        <v>1036735</v>
      </c>
      <c r="G52" s="29">
        <f>987115</f>
        <v>987115</v>
      </c>
      <c r="H52" s="29">
        <f>897151</f>
        <v>897151</v>
      </c>
      <c r="I52" s="29">
        <f>703151</f>
        <v>703151</v>
      </c>
      <c r="J52" s="29">
        <f>720051</f>
        <v>720051</v>
      </c>
      <c r="K52" s="29">
        <f>720051</f>
        <v>720051</v>
      </c>
      <c r="L52" s="29">
        <f>642251</f>
        <v>642251</v>
      </c>
      <c r="M52" s="29">
        <f>395150</f>
        <v>395150</v>
      </c>
      <c r="N52" s="8"/>
    </row>
    <row r="53" spans="1:14">
      <c r="A53" s="65" t="s">
        <v>66</v>
      </c>
      <c r="B53" s="9" t="s">
        <v>3</v>
      </c>
      <c r="C53" s="67" t="s">
        <v>67</v>
      </c>
      <c r="D53" s="89">
        <f>906335</f>
        <v>906335</v>
      </c>
      <c r="E53" s="63">
        <f>977535.33</f>
        <v>977535.33</v>
      </c>
      <c r="F53" s="29">
        <v>977535</v>
      </c>
      <c r="G53" s="29">
        <v>927915</v>
      </c>
      <c r="H53" s="29">
        <v>837951</v>
      </c>
      <c r="I53" s="29">
        <v>643951</v>
      </c>
      <c r="J53" s="29">
        <v>779251</v>
      </c>
      <c r="K53" s="29">
        <v>779251</v>
      </c>
      <c r="L53" s="29">
        <v>701251</v>
      </c>
      <c r="M53" s="29">
        <v>454350</v>
      </c>
      <c r="N53" s="8"/>
    </row>
    <row r="54" spans="1:14">
      <c r="A54" s="66"/>
      <c r="B54" s="7" t="s">
        <v>6</v>
      </c>
      <c r="C54" s="68"/>
      <c r="D54" s="90"/>
      <c r="E54" s="64"/>
      <c r="F54" s="26">
        <f>1036735</f>
        <v>1036735</v>
      </c>
      <c r="G54" s="26">
        <f>987115</f>
        <v>987115</v>
      </c>
      <c r="H54" s="26">
        <f>897151</f>
        <v>897151</v>
      </c>
      <c r="I54" s="26">
        <f>703151</f>
        <v>703151</v>
      </c>
      <c r="J54" s="26">
        <f>720051</f>
        <v>720051</v>
      </c>
      <c r="K54" s="26">
        <f>720051</f>
        <v>720051</v>
      </c>
      <c r="L54" s="26">
        <f>642251</f>
        <v>642251</v>
      </c>
      <c r="M54" s="26">
        <f>395150</f>
        <v>395150</v>
      </c>
    </row>
    <row r="55" spans="1:14" ht="33.75">
      <c r="A55" s="15" t="s">
        <v>68</v>
      </c>
      <c r="B55" s="69" t="s">
        <v>59</v>
      </c>
      <c r="C55" s="27" t="s">
        <v>69</v>
      </c>
      <c r="D55" s="23">
        <f>0</f>
        <v>0</v>
      </c>
      <c r="E55" s="26">
        <f>0</f>
        <v>0</v>
      </c>
      <c r="F55" s="26">
        <f>0</f>
        <v>0</v>
      </c>
      <c r="G55" s="26">
        <f>0</f>
        <v>0</v>
      </c>
      <c r="H55" s="26">
        <f>0</f>
        <v>0</v>
      </c>
      <c r="I55" s="26">
        <f>0</f>
        <v>0</v>
      </c>
      <c r="J55" s="26">
        <f>0</f>
        <v>0</v>
      </c>
      <c r="K55" s="26">
        <f>0</f>
        <v>0</v>
      </c>
      <c r="L55" s="26">
        <f>0</f>
        <v>0</v>
      </c>
      <c r="M55" s="26">
        <f>0</f>
        <v>0</v>
      </c>
    </row>
    <row r="56" spans="1:14" ht="22.5">
      <c r="A56" s="15" t="s">
        <v>70</v>
      </c>
      <c r="B56" s="69"/>
      <c r="C56" s="25" t="s">
        <v>71</v>
      </c>
      <c r="D56" s="23">
        <f>0</f>
        <v>0</v>
      </c>
      <c r="E56" s="26">
        <f>0</f>
        <v>0</v>
      </c>
      <c r="F56" s="26">
        <f>0</f>
        <v>0</v>
      </c>
      <c r="G56" s="26">
        <f>0</f>
        <v>0</v>
      </c>
      <c r="H56" s="26">
        <f>0</f>
        <v>0</v>
      </c>
      <c r="I56" s="26">
        <f>0</f>
        <v>0</v>
      </c>
      <c r="J56" s="26">
        <f>0</f>
        <v>0</v>
      </c>
      <c r="K56" s="26">
        <f>0</f>
        <v>0</v>
      </c>
      <c r="L56" s="26">
        <f>0</f>
        <v>0</v>
      </c>
      <c r="M56" s="26">
        <f>0</f>
        <v>0</v>
      </c>
    </row>
    <row r="57" spans="1:14" ht="22.5">
      <c r="A57" s="15" t="s">
        <v>72</v>
      </c>
      <c r="B57" s="69"/>
      <c r="C57" s="25" t="s">
        <v>73</v>
      </c>
      <c r="D57" s="23">
        <f>0</f>
        <v>0</v>
      </c>
      <c r="E57" s="26">
        <f>0</f>
        <v>0</v>
      </c>
      <c r="F57" s="26">
        <f>0</f>
        <v>0</v>
      </c>
      <c r="G57" s="26">
        <f>0</f>
        <v>0</v>
      </c>
      <c r="H57" s="26">
        <f>0</f>
        <v>0</v>
      </c>
      <c r="I57" s="26">
        <f>0</f>
        <v>0</v>
      </c>
      <c r="J57" s="26">
        <f>0</f>
        <v>0</v>
      </c>
      <c r="K57" s="26">
        <f>0</f>
        <v>0</v>
      </c>
      <c r="L57" s="26">
        <f>0</f>
        <v>0</v>
      </c>
      <c r="M57" s="26">
        <f>0</f>
        <v>0</v>
      </c>
    </row>
    <row r="58" spans="1:14" ht="22.5">
      <c r="A58" s="15" t="s">
        <v>74</v>
      </c>
      <c r="B58" s="69"/>
      <c r="C58" s="25" t="s">
        <v>75</v>
      </c>
      <c r="D58" s="23">
        <f>0</f>
        <v>0</v>
      </c>
      <c r="E58" s="26">
        <f>0</f>
        <v>0</v>
      </c>
      <c r="F58" s="26">
        <f>0</f>
        <v>0</v>
      </c>
      <c r="G58" s="26">
        <f>0</f>
        <v>0</v>
      </c>
      <c r="H58" s="26">
        <f>0</f>
        <v>0</v>
      </c>
      <c r="I58" s="26">
        <f>0</f>
        <v>0</v>
      </c>
      <c r="J58" s="26">
        <f>0</f>
        <v>0</v>
      </c>
      <c r="K58" s="26">
        <f>0</f>
        <v>0</v>
      </c>
      <c r="L58" s="26">
        <f>0</f>
        <v>0</v>
      </c>
      <c r="M58" s="26">
        <f>0</f>
        <v>0</v>
      </c>
    </row>
    <row r="59" spans="1:14">
      <c r="A59" s="15" t="s">
        <v>76</v>
      </c>
      <c r="B59" s="69"/>
      <c r="C59" s="31" t="s">
        <v>77</v>
      </c>
      <c r="D59" s="23">
        <f>0</f>
        <v>0</v>
      </c>
      <c r="E59" s="26">
        <f>0</f>
        <v>0</v>
      </c>
      <c r="F59" s="26">
        <f>0</f>
        <v>0</v>
      </c>
      <c r="G59" s="26">
        <f>0</f>
        <v>0</v>
      </c>
      <c r="H59" s="26">
        <f>0</f>
        <v>0</v>
      </c>
      <c r="I59" s="26">
        <f>0</f>
        <v>0</v>
      </c>
      <c r="J59" s="26">
        <f>0</f>
        <v>0</v>
      </c>
      <c r="K59" s="26">
        <f>0</f>
        <v>0</v>
      </c>
      <c r="L59" s="26">
        <f>0</f>
        <v>0</v>
      </c>
      <c r="M59" s="26">
        <f>0</f>
        <v>0</v>
      </c>
    </row>
    <row r="60" spans="1:14" ht="20.25" customHeight="1">
      <c r="A60" s="91">
        <v>6</v>
      </c>
      <c r="B60" s="9" t="s">
        <v>3</v>
      </c>
      <c r="C60" s="92" t="s">
        <v>78</v>
      </c>
      <c r="D60" s="93">
        <f>7079190.33</f>
        <v>7079190.3300000001</v>
      </c>
      <c r="E60" s="88">
        <f>6101655</f>
        <v>6101655</v>
      </c>
      <c r="F60" s="29">
        <v>5124120</v>
      </c>
      <c r="G60" s="29">
        <v>4196205</v>
      </c>
      <c r="H60" s="29">
        <v>3358254</v>
      </c>
      <c r="I60" s="29">
        <v>2714303</v>
      </c>
      <c r="J60" s="29">
        <v>1935052</v>
      </c>
      <c r="K60" s="29">
        <v>1155801</v>
      </c>
      <c r="L60" s="29">
        <v>454350</v>
      </c>
      <c r="M60" s="88">
        <f>0</f>
        <v>0</v>
      </c>
    </row>
    <row r="61" spans="1:14" ht="21.75" customHeight="1">
      <c r="A61" s="66"/>
      <c r="B61" s="7" t="s">
        <v>6</v>
      </c>
      <c r="C61" s="68"/>
      <c r="D61" s="90"/>
      <c r="E61" s="64"/>
      <c r="F61" s="29">
        <f>5064920</f>
        <v>5064920</v>
      </c>
      <c r="G61" s="29">
        <f>4077805</f>
        <v>4077805</v>
      </c>
      <c r="H61" s="29">
        <f>3180654</f>
        <v>3180654</v>
      </c>
      <c r="I61" s="29">
        <f>2477503</f>
        <v>2477503</v>
      </c>
      <c r="J61" s="29">
        <f>1757452</f>
        <v>1757452</v>
      </c>
      <c r="K61" s="29">
        <f>1037401</f>
        <v>1037401</v>
      </c>
      <c r="L61" s="29">
        <f>395150</f>
        <v>395150</v>
      </c>
      <c r="M61" s="64"/>
      <c r="N61" s="8"/>
    </row>
    <row r="62" spans="1:14" ht="47.25" customHeight="1">
      <c r="A62" s="16">
        <v>7</v>
      </c>
      <c r="B62" s="10" t="s">
        <v>80</v>
      </c>
      <c r="C62" s="32" t="s">
        <v>79</v>
      </c>
      <c r="D62" s="22">
        <f>0</f>
        <v>0</v>
      </c>
      <c r="E62" s="29">
        <f>0</f>
        <v>0</v>
      </c>
      <c r="F62" s="29">
        <f>0</f>
        <v>0</v>
      </c>
      <c r="G62" s="29">
        <f>0</f>
        <v>0</v>
      </c>
      <c r="H62" s="29">
        <f>0</f>
        <v>0</v>
      </c>
      <c r="I62" s="29">
        <f>0</f>
        <v>0</v>
      </c>
      <c r="J62" s="29">
        <f>0</f>
        <v>0</v>
      </c>
      <c r="K62" s="29">
        <f>0</f>
        <v>0</v>
      </c>
      <c r="L62" s="29">
        <f>0</f>
        <v>0</v>
      </c>
      <c r="M62" s="29">
        <f>0</f>
        <v>0</v>
      </c>
      <c r="N62" s="8"/>
    </row>
    <row r="63" spans="1:14" ht="21">
      <c r="A63" s="16">
        <v>8</v>
      </c>
      <c r="B63" s="7"/>
      <c r="C63" s="32" t="s">
        <v>81</v>
      </c>
      <c r="D63" s="33" t="s">
        <v>5</v>
      </c>
      <c r="E63" s="34" t="s">
        <v>5</v>
      </c>
      <c r="F63" s="34" t="s">
        <v>5</v>
      </c>
      <c r="G63" s="34" t="s">
        <v>5</v>
      </c>
      <c r="H63" s="34" t="s">
        <v>5</v>
      </c>
      <c r="I63" s="34" t="s">
        <v>5</v>
      </c>
      <c r="J63" s="34" t="s">
        <v>5</v>
      </c>
      <c r="K63" s="34" t="s">
        <v>5</v>
      </c>
      <c r="L63" s="34" t="s">
        <v>5</v>
      </c>
      <c r="M63" s="34" t="s">
        <v>5</v>
      </c>
      <c r="N63" s="8"/>
    </row>
    <row r="64" spans="1:14">
      <c r="A64" s="65" t="s">
        <v>82</v>
      </c>
      <c r="B64" s="9" t="s">
        <v>3</v>
      </c>
      <c r="C64" s="67" t="s">
        <v>83</v>
      </c>
      <c r="D64" s="35">
        <v>1585548</v>
      </c>
      <c r="E64" s="63">
        <f>1849000</f>
        <v>1849000</v>
      </c>
      <c r="F64" s="63">
        <f>2125000</f>
        <v>2125000</v>
      </c>
      <c r="G64" s="63">
        <f>2392000</f>
        <v>2392000</v>
      </c>
      <c r="H64" s="63">
        <f>2668000</f>
        <v>2668000</v>
      </c>
      <c r="I64" s="63">
        <f>2952000</f>
        <v>2952000</v>
      </c>
      <c r="J64" s="63">
        <f>2981000</f>
        <v>2981000</v>
      </c>
      <c r="K64" s="63">
        <f>3012000</f>
        <v>3012000</v>
      </c>
      <c r="L64" s="63">
        <f>3041000</f>
        <v>3041000</v>
      </c>
      <c r="M64" s="63">
        <f>3072000</f>
        <v>3072000</v>
      </c>
      <c r="N64" s="8"/>
    </row>
    <row r="65" spans="1:14">
      <c r="A65" s="66"/>
      <c r="B65" s="7" t="s">
        <v>6</v>
      </c>
      <c r="C65" s="68"/>
      <c r="D65" s="23">
        <f>1478586</f>
        <v>1478586</v>
      </c>
      <c r="E65" s="64"/>
      <c r="F65" s="64"/>
      <c r="G65" s="64"/>
      <c r="H65" s="64"/>
      <c r="I65" s="64"/>
      <c r="J65" s="64"/>
      <c r="K65" s="64"/>
      <c r="L65" s="64"/>
      <c r="M65" s="64"/>
    </row>
    <row r="66" spans="1:14" ht="30" customHeight="1">
      <c r="A66" s="57"/>
      <c r="B66" s="58"/>
      <c r="C66" s="59"/>
      <c r="D66" s="60"/>
      <c r="E66" s="61"/>
      <c r="F66" s="61"/>
      <c r="G66" s="61"/>
      <c r="H66" s="61"/>
      <c r="I66" s="61"/>
      <c r="J66" s="61"/>
      <c r="K66" s="61"/>
      <c r="L66" s="61"/>
      <c r="M66" s="61"/>
    </row>
    <row r="67" spans="1:14">
      <c r="A67" s="14" t="s">
        <v>1</v>
      </c>
      <c r="B67" s="2"/>
      <c r="C67" s="14" t="s">
        <v>2</v>
      </c>
      <c r="D67" s="20">
        <f>+[1]DaneZrodlowe!$N$1</f>
        <v>2015</v>
      </c>
      <c r="E67" s="20">
        <f>+D67+1</f>
        <v>2016</v>
      </c>
      <c r="F67" s="20">
        <f t="shared" ref="F67" si="9">+E67+1</f>
        <v>2017</v>
      </c>
      <c r="G67" s="20">
        <f t="shared" ref="G67" si="10">+F67+1</f>
        <v>2018</v>
      </c>
      <c r="H67" s="20">
        <f t="shared" ref="H67" si="11">+G67+1</f>
        <v>2019</v>
      </c>
      <c r="I67" s="20">
        <f t="shared" ref="I67" si="12">+H67+1</f>
        <v>2020</v>
      </c>
      <c r="J67" s="20">
        <f t="shared" ref="J67" si="13">+I67+1</f>
        <v>2021</v>
      </c>
      <c r="K67" s="20">
        <f t="shared" ref="K67" si="14">+J67+1</f>
        <v>2022</v>
      </c>
      <c r="L67" s="20">
        <f t="shared" ref="L67" si="15">+K67+1</f>
        <v>2023</v>
      </c>
      <c r="M67" s="20">
        <f t="shared" ref="M67" si="16">+L67+1</f>
        <v>2024</v>
      </c>
      <c r="N67" s="3"/>
    </row>
    <row r="68" spans="1:14">
      <c r="A68" s="65" t="s">
        <v>84</v>
      </c>
      <c r="B68" s="9" t="s">
        <v>3</v>
      </c>
      <c r="C68" s="67" t="s">
        <v>85</v>
      </c>
      <c r="D68" s="23">
        <v>1585548</v>
      </c>
      <c r="E68" s="63">
        <f>1849000</f>
        <v>1849000</v>
      </c>
      <c r="F68" s="63">
        <f>2125000</f>
        <v>2125000</v>
      </c>
      <c r="G68" s="63">
        <f>2392000</f>
        <v>2392000</v>
      </c>
      <c r="H68" s="63">
        <f>2668000</f>
        <v>2668000</v>
      </c>
      <c r="I68" s="63">
        <f>2952000</f>
        <v>2952000</v>
      </c>
      <c r="J68" s="63">
        <f>2981000</f>
        <v>2981000</v>
      </c>
      <c r="K68" s="63">
        <f>3012000</f>
        <v>3012000</v>
      </c>
      <c r="L68" s="63">
        <f>3041000</f>
        <v>3041000</v>
      </c>
      <c r="M68" s="63">
        <f>3072000</f>
        <v>3072000</v>
      </c>
    </row>
    <row r="69" spans="1:14" ht="20.25" customHeight="1">
      <c r="A69" s="66"/>
      <c r="B69" s="7" t="s">
        <v>6</v>
      </c>
      <c r="C69" s="68"/>
      <c r="D69" s="23">
        <f>2002375</f>
        <v>2002375</v>
      </c>
      <c r="E69" s="64"/>
      <c r="F69" s="64"/>
      <c r="G69" s="64"/>
      <c r="H69" s="64"/>
      <c r="I69" s="64"/>
      <c r="J69" s="64"/>
      <c r="K69" s="64"/>
      <c r="L69" s="64"/>
      <c r="M69" s="64"/>
    </row>
    <row r="70" spans="1:14">
      <c r="A70" s="16">
        <v>9</v>
      </c>
      <c r="B70" s="7"/>
      <c r="C70" s="32" t="s">
        <v>86</v>
      </c>
      <c r="D70" s="33" t="s">
        <v>5</v>
      </c>
      <c r="E70" s="34" t="s">
        <v>5</v>
      </c>
      <c r="F70" s="34" t="s">
        <v>5</v>
      </c>
      <c r="G70" s="34" t="s">
        <v>5</v>
      </c>
      <c r="H70" s="34" t="s">
        <v>5</v>
      </c>
      <c r="I70" s="34" t="s">
        <v>5</v>
      </c>
      <c r="J70" s="34" t="s">
        <v>5</v>
      </c>
      <c r="K70" s="34" t="s">
        <v>5</v>
      </c>
      <c r="L70" s="34" t="s">
        <v>5</v>
      </c>
      <c r="M70" s="34" t="s">
        <v>5</v>
      </c>
      <c r="N70" s="8"/>
    </row>
    <row r="71" spans="1:14" ht="32.25" customHeight="1">
      <c r="A71" s="65" t="s">
        <v>87</v>
      </c>
      <c r="B71" s="9" t="s">
        <v>3</v>
      </c>
      <c r="C71" s="67" t="s">
        <v>88</v>
      </c>
      <c r="D71" s="36">
        <v>4.3400000000000001E-2</v>
      </c>
      <c r="E71" s="37">
        <v>5.45E-2</v>
      </c>
      <c r="F71" s="37">
        <v>5.1200000000000002E-2</v>
      </c>
      <c r="G71" s="37">
        <v>4.6600000000000003E-2</v>
      </c>
      <c r="H71" s="37">
        <v>4.0500000000000001E-2</v>
      </c>
      <c r="I71" s="37">
        <v>3.0800000000000001E-2</v>
      </c>
      <c r="J71" s="37">
        <v>3.44E-2</v>
      </c>
      <c r="K71" s="38">
        <v>3.26</v>
      </c>
      <c r="L71" s="38">
        <v>2.79</v>
      </c>
      <c r="M71" s="38">
        <v>1.73</v>
      </c>
      <c r="N71" s="8"/>
    </row>
    <row r="72" spans="1:14" ht="33" customHeight="1">
      <c r="A72" s="66"/>
      <c r="B72" s="7" t="s">
        <v>6</v>
      </c>
      <c r="C72" s="68"/>
      <c r="D72" s="39">
        <f>0.0413</f>
        <v>4.1300000000000003E-2</v>
      </c>
      <c r="E72" s="40">
        <f>0.0545</f>
        <v>5.45E-2</v>
      </c>
      <c r="F72" s="40">
        <f>0.0536</f>
        <v>5.3600000000000002E-2</v>
      </c>
      <c r="G72" s="40">
        <f>0.049</f>
        <v>4.9000000000000002E-2</v>
      </c>
      <c r="H72" s="40">
        <f>0.0429</f>
        <v>4.2900000000000001E-2</v>
      </c>
      <c r="I72" s="40">
        <f>0.0331</f>
        <v>3.3099999999999997E-2</v>
      </c>
      <c r="J72" s="40">
        <f>0.0322</f>
        <v>3.2199999999999999E-2</v>
      </c>
      <c r="K72" s="40">
        <f>0.0304</f>
        <v>3.04E-2</v>
      </c>
      <c r="L72" s="40">
        <f>0.0257</f>
        <v>2.5700000000000001E-2</v>
      </c>
      <c r="M72" s="40">
        <f>0.0152</f>
        <v>1.52E-2</v>
      </c>
    </row>
    <row r="73" spans="1:14" ht="27" customHeight="1">
      <c r="A73" s="65" t="s">
        <v>89</v>
      </c>
      <c r="B73" s="9" t="s">
        <v>3</v>
      </c>
      <c r="C73" s="67" t="s">
        <v>90</v>
      </c>
      <c r="D73" s="36">
        <v>4.3400000000000001E-2</v>
      </c>
      <c r="E73" s="37">
        <v>5.45E-2</v>
      </c>
      <c r="F73" s="37">
        <v>5.1200000000000002E-2</v>
      </c>
      <c r="G73" s="37">
        <v>4.6600000000000003E-2</v>
      </c>
      <c r="H73" s="37">
        <v>4.0500000000000001E-2</v>
      </c>
      <c r="I73" s="37">
        <v>3.0800000000000001E-2</v>
      </c>
      <c r="J73" s="37">
        <v>3.44E-2</v>
      </c>
      <c r="K73" s="38">
        <v>3.26</v>
      </c>
      <c r="L73" s="38">
        <v>2.79</v>
      </c>
      <c r="M73" s="38">
        <v>1.73</v>
      </c>
    </row>
    <row r="74" spans="1:14" ht="35.25" customHeight="1">
      <c r="A74" s="66"/>
      <c r="B74" s="7" t="s">
        <v>6</v>
      </c>
      <c r="C74" s="68"/>
      <c r="D74" s="39">
        <f>0.0413</f>
        <v>4.1300000000000003E-2</v>
      </c>
      <c r="E74" s="40">
        <f>0.0545</f>
        <v>5.45E-2</v>
      </c>
      <c r="F74" s="40">
        <f>0.0536</f>
        <v>5.3600000000000002E-2</v>
      </c>
      <c r="G74" s="40">
        <f>0.049</f>
        <v>4.9000000000000002E-2</v>
      </c>
      <c r="H74" s="40">
        <f>0.0429</f>
        <v>4.2900000000000001E-2</v>
      </c>
      <c r="I74" s="40">
        <f>0.0331</f>
        <v>3.3099999999999997E-2</v>
      </c>
      <c r="J74" s="40">
        <f>0.0322</f>
        <v>3.2199999999999999E-2</v>
      </c>
      <c r="K74" s="40">
        <f>0.0304</f>
        <v>3.04E-2</v>
      </c>
      <c r="L74" s="40">
        <f>0.0257</f>
        <v>2.5700000000000001E-2</v>
      </c>
      <c r="M74" s="40">
        <f>0.0152</f>
        <v>1.52E-2</v>
      </c>
    </row>
    <row r="75" spans="1:14" ht="27.75" customHeight="1">
      <c r="A75" s="65" t="s">
        <v>91</v>
      </c>
      <c r="B75" s="9" t="s">
        <v>3</v>
      </c>
      <c r="C75" s="67" t="s">
        <v>92</v>
      </c>
      <c r="D75" s="23">
        <v>1434.18</v>
      </c>
      <c r="E75" s="63">
        <f>0</f>
        <v>0</v>
      </c>
      <c r="F75" s="63">
        <f>0</f>
        <v>0</v>
      </c>
      <c r="G75" s="63">
        <f>0</f>
        <v>0</v>
      </c>
      <c r="H75" s="63">
        <f>0</f>
        <v>0</v>
      </c>
      <c r="I75" s="63">
        <f>0</f>
        <v>0</v>
      </c>
      <c r="J75" s="63">
        <f>0</f>
        <v>0</v>
      </c>
      <c r="K75" s="63">
        <f>0</f>
        <v>0</v>
      </c>
      <c r="L75" s="63">
        <f>0</f>
        <v>0</v>
      </c>
      <c r="M75" s="63">
        <f>0</f>
        <v>0</v>
      </c>
    </row>
    <row r="76" spans="1:14" ht="24" customHeight="1">
      <c r="A76" s="66"/>
      <c r="B76" s="7" t="s">
        <v>6</v>
      </c>
      <c r="C76" s="68"/>
      <c r="D76" s="23">
        <f>3360</f>
        <v>3360</v>
      </c>
      <c r="E76" s="64"/>
      <c r="F76" s="64"/>
      <c r="G76" s="64"/>
      <c r="H76" s="64"/>
      <c r="I76" s="64"/>
      <c r="J76" s="64"/>
      <c r="K76" s="64"/>
      <c r="L76" s="64"/>
      <c r="M76" s="64"/>
    </row>
    <row r="77" spans="1:14" ht="29.25" customHeight="1">
      <c r="A77" s="65" t="s">
        <v>93</v>
      </c>
      <c r="B77" s="9" t="s">
        <v>3</v>
      </c>
      <c r="C77" s="67" t="s">
        <v>94</v>
      </c>
      <c r="D77" s="41">
        <v>4.3400000000000001E-2</v>
      </c>
      <c r="E77" s="37">
        <v>5.45E-2</v>
      </c>
      <c r="F77" s="37">
        <v>5.1200000000000002E-2</v>
      </c>
      <c r="G77" s="37">
        <v>4.6600000000000003E-2</v>
      </c>
      <c r="H77" s="37">
        <v>4.0500000000000001E-2</v>
      </c>
      <c r="I77" s="37">
        <v>3.0800000000000001E-2</v>
      </c>
      <c r="J77" s="37">
        <v>3.44E-2</v>
      </c>
      <c r="K77" s="38">
        <v>3.26</v>
      </c>
      <c r="L77" s="38">
        <v>2.79</v>
      </c>
      <c r="M77" s="38">
        <v>1.73</v>
      </c>
    </row>
    <row r="78" spans="1:14" ht="37.5" customHeight="1">
      <c r="A78" s="66"/>
      <c r="B78" s="7" t="s">
        <v>6</v>
      </c>
      <c r="C78" s="68"/>
      <c r="D78" s="39">
        <f>0.0414</f>
        <v>4.1399999999999999E-2</v>
      </c>
      <c r="E78" s="40">
        <f>0.0545</f>
        <v>5.45E-2</v>
      </c>
      <c r="F78" s="40">
        <f>0.0536</f>
        <v>5.3600000000000002E-2</v>
      </c>
      <c r="G78" s="40">
        <f>0.049</f>
        <v>4.9000000000000002E-2</v>
      </c>
      <c r="H78" s="40">
        <f>0.0429</f>
        <v>4.2900000000000001E-2</v>
      </c>
      <c r="I78" s="40">
        <f>0.0331</f>
        <v>3.3099999999999997E-2</v>
      </c>
      <c r="J78" s="40">
        <f>0.0322</f>
        <v>3.2199999999999999E-2</v>
      </c>
      <c r="K78" s="40">
        <f>0.0304</f>
        <v>3.04E-2</v>
      </c>
      <c r="L78" s="40">
        <f>0.0257</f>
        <v>2.5700000000000001E-2</v>
      </c>
      <c r="M78" s="40">
        <f>0.0152</f>
        <v>1.52E-2</v>
      </c>
    </row>
    <row r="79" spans="1:14" ht="27" customHeight="1">
      <c r="A79" s="107" t="s">
        <v>95</v>
      </c>
      <c r="B79" s="9" t="s">
        <v>3</v>
      </c>
      <c r="C79" s="108" t="s">
        <v>96</v>
      </c>
      <c r="D79" s="41">
        <v>0.1575</v>
      </c>
      <c r="E79" s="109">
        <v>7.7200000000000005E-2</v>
      </c>
      <c r="F79" s="109">
        <v>8.6199999999999999E-2</v>
      </c>
      <c r="G79" s="110">
        <v>9.5100000000000004E-2</v>
      </c>
      <c r="H79" s="110">
        <v>0.104</v>
      </c>
      <c r="I79" s="110">
        <v>0.1128</v>
      </c>
      <c r="J79" s="110">
        <v>0.1128</v>
      </c>
      <c r="K79" s="110">
        <v>0.1129</v>
      </c>
      <c r="L79" s="110">
        <v>0.1128</v>
      </c>
      <c r="M79" s="110">
        <v>0.1128</v>
      </c>
    </row>
    <row r="80" spans="1:14" ht="26.25" customHeight="1">
      <c r="A80" s="66"/>
      <c r="B80" s="7" t="s">
        <v>6</v>
      </c>
      <c r="C80" s="68"/>
      <c r="D80" s="39">
        <f>+IF(AND(D5&gt;=2013,D5&lt;=2018),IF(D7&lt;&gt;0,(D9+D23-D29+D32)/D7,0),IF(D7&lt;&gt;0,(D9+D23-D29)/D7,0))</f>
        <v>3.9570312298152919</v>
      </c>
      <c r="E80" s="64"/>
      <c r="F80" s="64"/>
      <c r="G80" s="64"/>
      <c r="H80" s="64"/>
      <c r="I80" s="64"/>
      <c r="J80" s="64"/>
      <c r="K80" s="82"/>
      <c r="L80" s="82"/>
      <c r="M80" s="82"/>
    </row>
    <row r="81" spans="1:14" ht="33" customHeight="1">
      <c r="A81" s="65" t="s">
        <v>97</v>
      </c>
      <c r="B81" s="9" t="s">
        <v>3</v>
      </c>
      <c r="C81" s="67" t="s">
        <v>98</v>
      </c>
      <c r="D81" s="111">
        <v>0.1162</v>
      </c>
      <c r="E81" s="42">
        <v>0.12620000000000001</v>
      </c>
      <c r="F81" s="42">
        <v>0.1178</v>
      </c>
      <c r="G81" s="42">
        <v>0.107</v>
      </c>
      <c r="H81" s="112">
        <v>8.6199999999999999E-2</v>
      </c>
      <c r="I81" s="112">
        <v>9.5100000000000004E-2</v>
      </c>
      <c r="J81" s="112">
        <v>0.104</v>
      </c>
      <c r="K81" s="113">
        <v>0.1099</v>
      </c>
      <c r="L81" s="113">
        <v>0.1128</v>
      </c>
      <c r="M81" s="113">
        <v>0.1128</v>
      </c>
    </row>
    <row r="82" spans="1:14" ht="27.75" customHeight="1">
      <c r="A82" s="66"/>
      <c r="B82" s="7" t="s">
        <v>6</v>
      </c>
      <c r="C82" s="68"/>
      <c r="D82" s="90"/>
      <c r="E82" s="40">
        <f>0.1224</f>
        <v>0.12239999999999999</v>
      </c>
      <c r="F82" s="40">
        <f>0.114</f>
        <v>0.114</v>
      </c>
      <c r="G82" s="40">
        <f>0.1032</f>
        <v>0.1032</v>
      </c>
      <c r="H82" s="64"/>
      <c r="I82" s="64"/>
      <c r="J82" s="64"/>
      <c r="K82" s="64"/>
      <c r="L82" s="64"/>
      <c r="M82" s="64"/>
    </row>
    <row r="83" spans="1:14" ht="34.5" customHeight="1">
      <c r="A83" s="65" t="s">
        <v>99</v>
      </c>
      <c r="B83" s="9" t="s">
        <v>3</v>
      </c>
      <c r="C83" s="67" t="s">
        <v>100</v>
      </c>
      <c r="D83" s="41">
        <v>0.1162</v>
      </c>
      <c r="E83" s="43">
        <v>0.12620000000000001</v>
      </c>
      <c r="F83" s="43">
        <v>0.1178</v>
      </c>
      <c r="G83" s="43">
        <v>0.107</v>
      </c>
      <c r="H83" s="110">
        <f>0.0862</f>
        <v>8.6199999999999999E-2</v>
      </c>
      <c r="I83" s="110">
        <f>0.0951</f>
        <v>9.5100000000000004E-2</v>
      </c>
      <c r="J83" s="110">
        <f>0.104</f>
        <v>0.104</v>
      </c>
      <c r="K83" s="110">
        <f>0.1099</f>
        <v>0.1099</v>
      </c>
      <c r="L83" s="110">
        <f>0.1128</f>
        <v>0.1128</v>
      </c>
      <c r="M83" s="110">
        <f>0.1128</f>
        <v>0.1128</v>
      </c>
    </row>
    <row r="84" spans="1:14" ht="36" customHeight="1">
      <c r="A84" s="66"/>
      <c r="B84" s="7" t="s">
        <v>6</v>
      </c>
      <c r="C84" s="68"/>
      <c r="D84" s="39">
        <f>0.1238</f>
        <v>0.12379999999999999</v>
      </c>
      <c r="E84" s="40">
        <f>0.13</f>
        <v>0.13</v>
      </c>
      <c r="F84" s="40">
        <f>0.1217</f>
        <v>0.1217</v>
      </c>
      <c r="G84" s="40">
        <f>0.1032</f>
        <v>0.1032</v>
      </c>
      <c r="H84" s="64"/>
      <c r="I84" s="82"/>
      <c r="J84" s="82"/>
      <c r="K84" s="82"/>
      <c r="L84" s="82"/>
      <c r="M84" s="82"/>
    </row>
    <row r="85" spans="1:14" ht="72" customHeight="1">
      <c r="A85" s="15" t="s">
        <v>101</v>
      </c>
      <c r="B85" s="11" t="s">
        <v>196</v>
      </c>
      <c r="C85" s="31" t="s">
        <v>102</v>
      </c>
      <c r="D85" s="39" t="s">
        <v>103</v>
      </c>
      <c r="E85" s="44" t="s">
        <v>103</v>
      </c>
      <c r="F85" s="44" t="s">
        <v>103</v>
      </c>
      <c r="G85" s="44" t="s">
        <v>103</v>
      </c>
      <c r="H85" s="44" t="s">
        <v>103</v>
      </c>
      <c r="I85" s="44" t="s">
        <v>103</v>
      </c>
      <c r="J85" s="44" t="s">
        <v>103</v>
      </c>
      <c r="K85" s="44" t="s">
        <v>103</v>
      </c>
      <c r="L85" s="44" t="s">
        <v>103</v>
      </c>
      <c r="M85" s="44" t="s">
        <v>103</v>
      </c>
    </row>
    <row r="86" spans="1:14" ht="73.5" customHeight="1">
      <c r="A86" s="15" t="s">
        <v>104</v>
      </c>
      <c r="B86" s="11" t="s">
        <v>196</v>
      </c>
      <c r="C86" s="27" t="s">
        <v>105</v>
      </c>
      <c r="D86" s="45" t="str">
        <f>IF(D78&lt;=D84,"Spełniona","Nie spełniona")</f>
        <v>Spełniona</v>
      </c>
      <c r="E86" s="46" t="str">
        <f>IF(E78&lt;=E84,"Spełniona","Nie spełniona")</f>
        <v>Spełniona</v>
      </c>
      <c r="F86" s="46" t="str">
        <f>IF(F78&lt;=F84,"Spełniona","Nie spełniona")</f>
        <v>Spełniona</v>
      </c>
      <c r="G86" s="46" t="str">
        <f>IF(G78&lt;=G84,"Spełniona","Nie spełniona")</f>
        <v>Spełniona</v>
      </c>
      <c r="H86" s="46" t="str">
        <f t="shared" ref="H86:M86" si="17">IF(H78&lt;=H83,"Spełniona","Nie spełniona")</f>
        <v>Spełniona</v>
      </c>
      <c r="I86" s="46" t="str">
        <f t="shared" si="17"/>
        <v>Spełniona</v>
      </c>
      <c r="J86" s="46" t="str">
        <f t="shared" si="17"/>
        <v>Spełniona</v>
      </c>
      <c r="K86" s="46" t="str">
        <f t="shared" si="17"/>
        <v>Spełniona</v>
      </c>
      <c r="L86" s="46" t="str">
        <f t="shared" si="17"/>
        <v>Spełniona</v>
      </c>
      <c r="M86" s="46" t="str">
        <f t="shared" si="17"/>
        <v>Spełniona</v>
      </c>
    </row>
    <row r="87" spans="1:14" ht="21" customHeight="1">
      <c r="A87" s="14" t="s">
        <v>1</v>
      </c>
      <c r="B87" s="2"/>
      <c r="C87" s="14" t="s">
        <v>2</v>
      </c>
      <c r="D87" s="20">
        <f>+[1]DaneZrodlowe!$N$1</f>
        <v>2015</v>
      </c>
      <c r="E87" s="20">
        <f>+D87+1</f>
        <v>2016</v>
      </c>
      <c r="F87" s="20">
        <f t="shared" ref="F87" si="18">+E87+1</f>
        <v>2017</v>
      </c>
      <c r="G87" s="20">
        <f t="shared" ref="G87" si="19">+F87+1</f>
        <v>2018</v>
      </c>
      <c r="H87" s="20">
        <f t="shared" ref="H87" si="20">+G87+1</f>
        <v>2019</v>
      </c>
      <c r="I87" s="20">
        <f t="shared" ref="I87" si="21">+H87+1</f>
        <v>2020</v>
      </c>
      <c r="J87" s="20">
        <f t="shared" ref="J87" si="22">+I87+1</f>
        <v>2021</v>
      </c>
      <c r="K87" s="20">
        <f t="shared" ref="K87" si="23">+J87+1</f>
        <v>2022</v>
      </c>
      <c r="L87" s="20">
        <f t="shared" ref="L87" si="24">+K87+1</f>
        <v>2023</v>
      </c>
      <c r="M87" s="20">
        <f t="shared" ref="M87" si="25">+L87+1</f>
        <v>2024</v>
      </c>
      <c r="N87" s="3"/>
    </row>
    <row r="88" spans="1:14" ht="17.25" customHeight="1">
      <c r="A88" s="91">
        <v>10</v>
      </c>
      <c r="B88" s="9" t="s">
        <v>3</v>
      </c>
      <c r="C88" s="92" t="s">
        <v>106</v>
      </c>
      <c r="D88" s="114">
        <v>0</v>
      </c>
      <c r="E88" s="88">
        <f>977535.33</f>
        <v>977535.33</v>
      </c>
      <c r="F88" s="47">
        <v>977535</v>
      </c>
      <c r="G88" s="47">
        <v>927915</v>
      </c>
      <c r="H88" s="47">
        <v>837951</v>
      </c>
      <c r="I88" s="47">
        <v>643951</v>
      </c>
      <c r="J88" s="47">
        <v>779251</v>
      </c>
      <c r="K88" s="47">
        <v>779251</v>
      </c>
      <c r="L88" s="47">
        <v>701451</v>
      </c>
      <c r="M88" s="47">
        <v>454350</v>
      </c>
    </row>
    <row r="89" spans="1:14" ht="15.75" customHeight="1">
      <c r="A89" s="66"/>
      <c r="B89" s="7" t="s">
        <v>6</v>
      </c>
      <c r="C89" s="68"/>
      <c r="D89" s="115"/>
      <c r="E89" s="64"/>
      <c r="F89" s="29">
        <f>1036735</f>
        <v>1036735</v>
      </c>
      <c r="G89" s="29">
        <f>987115</f>
        <v>987115</v>
      </c>
      <c r="H89" s="29">
        <f>897151</f>
        <v>897151</v>
      </c>
      <c r="I89" s="29">
        <f>703151</f>
        <v>703151</v>
      </c>
      <c r="J89" s="29">
        <f>720051</f>
        <v>720051</v>
      </c>
      <c r="K89" s="29">
        <f>720051</f>
        <v>720051</v>
      </c>
      <c r="L89" s="29">
        <f>642251</f>
        <v>642251</v>
      </c>
      <c r="M89" s="29">
        <f>395150</f>
        <v>395150</v>
      </c>
      <c r="N89" s="8"/>
    </row>
    <row r="90" spans="1:14">
      <c r="A90" s="65" t="s">
        <v>107</v>
      </c>
      <c r="B90" s="9" t="s">
        <v>3</v>
      </c>
      <c r="C90" s="67" t="s">
        <v>108</v>
      </c>
      <c r="D90" s="89">
        <f>0</f>
        <v>0</v>
      </c>
      <c r="E90" s="63">
        <f>977535.33</f>
        <v>977535.33</v>
      </c>
      <c r="F90" s="26">
        <v>977535</v>
      </c>
      <c r="G90" s="26">
        <v>927915</v>
      </c>
      <c r="H90" s="26">
        <v>837951</v>
      </c>
      <c r="I90" s="26">
        <v>643951</v>
      </c>
      <c r="J90" s="26">
        <v>779251</v>
      </c>
      <c r="K90" s="26">
        <v>779251</v>
      </c>
      <c r="L90" s="26">
        <v>701451</v>
      </c>
      <c r="M90" s="26">
        <v>454350</v>
      </c>
      <c r="N90" s="8"/>
    </row>
    <row r="91" spans="1:14">
      <c r="A91" s="66"/>
      <c r="B91" s="7" t="s">
        <v>6</v>
      </c>
      <c r="C91" s="68"/>
      <c r="D91" s="90"/>
      <c r="E91" s="64"/>
      <c r="F91" s="26">
        <f>1036735</f>
        <v>1036735</v>
      </c>
      <c r="G91" s="26">
        <f>987115</f>
        <v>987115</v>
      </c>
      <c r="H91" s="26">
        <f>897151</f>
        <v>897151</v>
      </c>
      <c r="I91" s="26">
        <f>703151</f>
        <v>703151</v>
      </c>
      <c r="J91" s="26">
        <f>720051</f>
        <v>720051</v>
      </c>
      <c r="K91" s="26">
        <f>720051</f>
        <v>720051</v>
      </c>
      <c r="L91" s="26">
        <f>642251</f>
        <v>642251</v>
      </c>
      <c r="M91" s="26">
        <f>395150</f>
        <v>395150</v>
      </c>
    </row>
    <row r="92" spans="1:14" ht="21">
      <c r="A92" s="16">
        <v>11</v>
      </c>
      <c r="B92" s="7"/>
      <c r="C92" s="32" t="s">
        <v>109</v>
      </c>
      <c r="D92" s="33" t="s">
        <v>5</v>
      </c>
      <c r="E92" s="34" t="s">
        <v>5</v>
      </c>
      <c r="F92" s="34" t="s">
        <v>5</v>
      </c>
      <c r="G92" s="34" t="s">
        <v>5</v>
      </c>
      <c r="H92" s="34" t="s">
        <v>5</v>
      </c>
      <c r="I92" s="34" t="s">
        <v>5</v>
      </c>
      <c r="J92" s="34" t="s">
        <v>5</v>
      </c>
      <c r="K92" s="34" t="s">
        <v>5</v>
      </c>
      <c r="L92" s="34" t="s">
        <v>5</v>
      </c>
      <c r="M92" s="34" t="s">
        <v>5</v>
      </c>
      <c r="N92" s="8"/>
    </row>
    <row r="93" spans="1:14">
      <c r="A93" s="65" t="s">
        <v>110</v>
      </c>
      <c r="B93" s="9" t="s">
        <v>3</v>
      </c>
      <c r="C93" s="67" t="s">
        <v>111</v>
      </c>
      <c r="D93" s="35">
        <v>8723963</v>
      </c>
      <c r="E93" s="63">
        <f>8898000</f>
        <v>8898000</v>
      </c>
      <c r="F93" s="63">
        <f>9076000</f>
        <v>9076000</v>
      </c>
      <c r="G93" s="63">
        <f>9250000</f>
        <v>9250000</v>
      </c>
      <c r="H93" s="63">
        <f>0</f>
        <v>0</v>
      </c>
      <c r="I93" s="63">
        <f>0</f>
        <v>0</v>
      </c>
      <c r="J93" s="63">
        <f>0</f>
        <v>0</v>
      </c>
      <c r="K93" s="63">
        <f>0</f>
        <v>0</v>
      </c>
      <c r="L93" s="63">
        <f>0</f>
        <v>0</v>
      </c>
      <c r="M93" s="63">
        <f>0</f>
        <v>0</v>
      </c>
      <c r="N93" s="8"/>
    </row>
    <row r="94" spans="1:14">
      <c r="A94" s="66"/>
      <c r="B94" s="7" t="s">
        <v>6</v>
      </c>
      <c r="C94" s="68"/>
      <c r="D94" s="23">
        <f>8761194.54</f>
        <v>8761194.5399999991</v>
      </c>
      <c r="E94" s="64"/>
      <c r="F94" s="64"/>
      <c r="G94" s="64"/>
      <c r="H94" s="64"/>
      <c r="I94" s="64"/>
      <c r="J94" s="64"/>
      <c r="K94" s="64"/>
      <c r="L94" s="64"/>
      <c r="M94" s="64"/>
    </row>
    <row r="95" spans="1:14">
      <c r="A95" s="65" t="s">
        <v>112</v>
      </c>
      <c r="B95" s="9" t="s">
        <v>3</v>
      </c>
      <c r="C95" s="67" t="s">
        <v>113</v>
      </c>
      <c r="D95" s="23">
        <v>1902070</v>
      </c>
      <c r="E95" s="63">
        <f>1923000</f>
        <v>1923000</v>
      </c>
      <c r="F95" s="63">
        <f>1961000</f>
        <v>1961000</v>
      </c>
      <c r="G95" s="63">
        <f>2000000</f>
        <v>2000000</v>
      </c>
      <c r="H95" s="63">
        <f>0</f>
        <v>0</v>
      </c>
      <c r="I95" s="63">
        <f>0</f>
        <v>0</v>
      </c>
      <c r="J95" s="63">
        <f>0</f>
        <v>0</v>
      </c>
      <c r="K95" s="63">
        <f>0</f>
        <v>0</v>
      </c>
      <c r="L95" s="63">
        <f>0</f>
        <v>0</v>
      </c>
      <c r="M95" s="63">
        <f>0</f>
        <v>0</v>
      </c>
    </row>
    <row r="96" spans="1:14">
      <c r="A96" s="66"/>
      <c r="B96" s="7" t="s">
        <v>6</v>
      </c>
      <c r="C96" s="68"/>
      <c r="D96" s="23">
        <f>1934070</f>
        <v>1934070</v>
      </c>
      <c r="E96" s="64"/>
      <c r="F96" s="64"/>
      <c r="G96" s="64"/>
      <c r="H96" s="64"/>
      <c r="I96" s="64"/>
      <c r="J96" s="64"/>
      <c r="K96" s="64"/>
      <c r="L96" s="64"/>
      <c r="M96" s="64"/>
    </row>
    <row r="97" spans="1:14">
      <c r="A97" s="65" t="s">
        <v>114</v>
      </c>
      <c r="B97" s="9" t="s">
        <v>3</v>
      </c>
      <c r="C97" s="67" t="s">
        <v>115</v>
      </c>
      <c r="D97" s="89">
        <f>2730332</f>
        <v>2730332</v>
      </c>
      <c r="E97" s="48">
        <v>133332</v>
      </c>
      <c r="F97" s="48">
        <v>100000</v>
      </c>
      <c r="G97" s="48">
        <v>0</v>
      </c>
      <c r="H97" s="63">
        <f>0</f>
        <v>0</v>
      </c>
      <c r="I97" s="63">
        <f>0</f>
        <v>0</v>
      </c>
      <c r="J97" s="63">
        <f>0</f>
        <v>0</v>
      </c>
      <c r="K97" s="63">
        <f>0</f>
        <v>0</v>
      </c>
      <c r="L97" s="63">
        <f>0</f>
        <v>0</v>
      </c>
      <c r="M97" s="63">
        <f>0</f>
        <v>0</v>
      </c>
    </row>
    <row r="98" spans="1:14">
      <c r="A98" s="66"/>
      <c r="B98" s="7" t="s">
        <v>6</v>
      </c>
      <c r="C98" s="68"/>
      <c r="D98" s="116"/>
      <c r="E98" s="26">
        <f>845214</f>
        <v>845214</v>
      </c>
      <c r="F98" s="26">
        <f>500000</f>
        <v>500000</v>
      </c>
      <c r="G98" s="26">
        <f>575784</f>
        <v>575784</v>
      </c>
      <c r="H98" s="64"/>
      <c r="I98" s="64"/>
      <c r="J98" s="64"/>
      <c r="K98" s="64"/>
      <c r="L98" s="64"/>
      <c r="M98" s="64"/>
    </row>
    <row r="99" spans="1:14">
      <c r="A99" s="15" t="s">
        <v>116</v>
      </c>
      <c r="B99" s="7" t="s">
        <v>16</v>
      </c>
      <c r="C99" s="27" t="s">
        <v>117</v>
      </c>
      <c r="D99" s="23">
        <f>163332</f>
        <v>163332</v>
      </c>
      <c r="E99" s="26">
        <f>133332</f>
        <v>133332</v>
      </c>
      <c r="F99" s="26">
        <f>100000</f>
        <v>100000</v>
      </c>
      <c r="G99" s="26">
        <f>0</f>
        <v>0</v>
      </c>
      <c r="H99" s="26">
        <f>0</f>
        <v>0</v>
      </c>
      <c r="I99" s="26">
        <f>0</f>
        <v>0</v>
      </c>
      <c r="J99" s="26">
        <f>0</f>
        <v>0</v>
      </c>
      <c r="K99" s="26">
        <f>0</f>
        <v>0</v>
      </c>
      <c r="L99" s="26">
        <f>0</f>
        <v>0</v>
      </c>
      <c r="M99" s="26">
        <f>0</f>
        <v>0</v>
      </c>
    </row>
    <row r="100" spans="1:14">
      <c r="A100" s="65" t="s">
        <v>118</v>
      </c>
      <c r="B100" s="9" t="s">
        <v>3</v>
      </c>
      <c r="C100" s="80" t="s">
        <v>119</v>
      </c>
      <c r="D100" s="89">
        <f>2567000</f>
        <v>2567000</v>
      </c>
      <c r="E100" s="26">
        <v>0</v>
      </c>
      <c r="F100" s="26">
        <v>0</v>
      </c>
      <c r="G100" s="26">
        <v>0</v>
      </c>
      <c r="H100" s="63">
        <f>0</f>
        <v>0</v>
      </c>
      <c r="I100" s="63">
        <f>0</f>
        <v>0</v>
      </c>
      <c r="J100" s="63">
        <f>0</f>
        <v>0</v>
      </c>
      <c r="K100" s="63">
        <f>0</f>
        <v>0</v>
      </c>
      <c r="L100" s="63">
        <f>0</f>
        <v>0</v>
      </c>
      <c r="M100" s="63">
        <f>0</f>
        <v>0</v>
      </c>
    </row>
    <row r="101" spans="1:14">
      <c r="A101" s="84"/>
      <c r="B101" s="7" t="s">
        <v>6</v>
      </c>
      <c r="C101" s="102"/>
      <c r="D101" s="116"/>
      <c r="E101" s="26">
        <f>711882</f>
        <v>711882</v>
      </c>
      <c r="F101" s="26">
        <f>400000</f>
        <v>400000</v>
      </c>
      <c r="G101" s="26">
        <f>575784</f>
        <v>575784</v>
      </c>
      <c r="H101" s="82"/>
      <c r="I101" s="82"/>
      <c r="J101" s="82"/>
      <c r="K101" s="82"/>
      <c r="L101" s="82"/>
      <c r="M101" s="82"/>
    </row>
    <row r="102" spans="1:14">
      <c r="A102" s="65" t="s">
        <v>120</v>
      </c>
      <c r="B102" s="9" t="s">
        <v>3</v>
      </c>
      <c r="C102" s="83" t="s">
        <v>121</v>
      </c>
      <c r="D102" s="23">
        <v>12860</v>
      </c>
      <c r="E102" s="63">
        <f>0</f>
        <v>0</v>
      </c>
      <c r="F102" s="63">
        <f>0</f>
        <v>0</v>
      </c>
      <c r="G102" s="63">
        <f>0</f>
        <v>0</v>
      </c>
      <c r="H102" s="63">
        <f>0</f>
        <v>0</v>
      </c>
      <c r="I102" s="63">
        <f>0</f>
        <v>0</v>
      </c>
      <c r="J102" s="63">
        <f>0</f>
        <v>0</v>
      </c>
      <c r="K102" s="63">
        <f>0</f>
        <v>0</v>
      </c>
      <c r="L102" s="63">
        <f>0</f>
        <v>0</v>
      </c>
      <c r="M102" s="63">
        <f>0</f>
        <v>0</v>
      </c>
    </row>
    <row r="103" spans="1:14">
      <c r="A103" s="66"/>
      <c r="B103" s="7" t="s">
        <v>6</v>
      </c>
      <c r="C103" s="81"/>
      <c r="D103" s="23">
        <f>22261</f>
        <v>22261</v>
      </c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4">
      <c r="A104" s="65" t="s">
        <v>122</v>
      </c>
      <c r="B104" s="9" t="s">
        <v>3</v>
      </c>
      <c r="C104" s="83" t="s">
        <v>123</v>
      </c>
      <c r="D104" s="23">
        <v>6304442</v>
      </c>
      <c r="E104" s="48">
        <v>871464.67</v>
      </c>
      <c r="F104" s="48">
        <v>1147465</v>
      </c>
      <c r="G104" s="48">
        <v>1464085</v>
      </c>
      <c r="H104" s="63">
        <f>0</f>
        <v>0</v>
      </c>
      <c r="I104" s="63">
        <f>0</f>
        <v>0</v>
      </c>
      <c r="J104" s="63">
        <f>0</f>
        <v>0</v>
      </c>
      <c r="K104" s="63">
        <f>0</f>
        <v>0</v>
      </c>
      <c r="L104" s="63">
        <f>0</f>
        <v>0</v>
      </c>
      <c r="M104" s="63">
        <f>0</f>
        <v>0</v>
      </c>
    </row>
    <row r="105" spans="1:14">
      <c r="A105" s="66"/>
      <c r="B105" s="7" t="s">
        <v>6</v>
      </c>
      <c r="C105" s="81"/>
      <c r="D105" s="23">
        <f>5075316</f>
        <v>5075316</v>
      </c>
      <c r="E105" s="26">
        <f>871464.67</f>
        <v>871464.67</v>
      </c>
      <c r="F105" s="26">
        <f>1088265</f>
        <v>1088265</v>
      </c>
      <c r="G105" s="26">
        <f>1404885</f>
        <v>1404885</v>
      </c>
      <c r="H105" s="64"/>
      <c r="I105" s="64"/>
      <c r="J105" s="64"/>
      <c r="K105" s="64"/>
      <c r="L105" s="64"/>
      <c r="M105" s="64"/>
    </row>
    <row r="106" spans="1:14">
      <c r="A106" s="65" t="s">
        <v>124</v>
      </c>
      <c r="B106" s="9" t="s">
        <v>3</v>
      </c>
      <c r="C106" s="83" t="s">
        <v>125</v>
      </c>
      <c r="D106" s="23">
        <v>130000</v>
      </c>
      <c r="E106" s="63">
        <f>0</f>
        <v>0</v>
      </c>
      <c r="F106" s="63">
        <f>0</f>
        <v>0</v>
      </c>
      <c r="G106" s="63">
        <f>0</f>
        <v>0</v>
      </c>
      <c r="H106" s="63">
        <f>0</f>
        <v>0</v>
      </c>
      <c r="I106" s="63">
        <f>0</f>
        <v>0</v>
      </c>
      <c r="J106" s="63">
        <f>0</f>
        <v>0</v>
      </c>
      <c r="K106" s="63">
        <f>0</f>
        <v>0</v>
      </c>
      <c r="L106" s="63">
        <f>0</f>
        <v>0</v>
      </c>
      <c r="M106" s="63">
        <f>0</f>
        <v>0</v>
      </c>
    </row>
    <row r="107" spans="1:14">
      <c r="A107" s="66"/>
      <c r="B107" s="7" t="s">
        <v>6</v>
      </c>
      <c r="C107" s="81"/>
      <c r="D107" s="23">
        <f>2600000</f>
        <v>2600000</v>
      </c>
      <c r="E107" s="82"/>
      <c r="F107" s="82"/>
      <c r="G107" s="82"/>
      <c r="H107" s="82"/>
      <c r="I107" s="82"/>
      <c r="J107" s="82"/>
      <c r="K107" s="82"/>
      <c r="L107" s="82"/>
      <c r="M107" s="82"/>
    </row>
    <row r="108" spans="1:14" ht="37.5" customHeight="1">
      <c r="A108" s="16">
        <v>12</v>
      </c>
      <c r="B108" s="7"/>
      <c r="C108" s="32" t="s">
        <v>126</v>
      </c>
      <c r="D108" s="33" t="s">
        <v>5</v>
      </c>
      <c r="E108" s="34" t="s">
        <v>5</v>
      </c>
      <c r="F108" s="34" t="s">
        <v>5</v>
      </c>
      <c r="G108" s="34" t="s">
        <v>5</v>
      </c>
      <c r="H108" s="34" t="s">
        <v>5</v>
      </c>
      <c r="I108" s="34" t="s">
        <v>5</v>
      </c>
      <c r="J108" s="34" t="s">
        <v>5</v>
      </c>
      <c r="K108" s="34" t="s">
        <v>5</v>
      </c>
      <c r="L108" s="34" t="s">
        <v>5</v>
      </c>
      <c r="M108" s="34" t="s">
        <v>5</v>
      </c>
      <c r="N108" s="8"/>
    </row>
    <row r="109" spans="1:14" ht="37.5" customHeight="1">
      <c r="A109" s="15" t="s">
        <v>127</v>
      </c>
      <c r="B109" s="69" t="s">
        <v>128</v>
      </c>
      <c r="C109" s="31" t="s">
        <v>129</v>
      </c>
      <c r="D109" s="23">
        <f>0</f>
        <v>0</v>
      </c>
      <c r="E109" s="26">
        <f>0</f>
        <v>0</v>
      </c>
      <c r="F109" s="26">
        <f>0</f>
        <v>0</v>
      </c>
      <c r="G109" s="26">
        <f>0</f>
        <v>0</v>
      </c>
      <c r="H109" s="26">
        <f>0</f>
        <v>0</v>
      </c>
      <c r="I109" s="26">
        <f>0</f>
        <v>0</v>
      </c>
      <c r="J109" s="26">
        <f>0</f>
        <v>0</v>
      </c>
      <c r="K109" s="26">
        <f>0</f>
        <v>0</v>
      </c>
      <c r="L109" s="26">
        <f>0</f>
        <v>0</v>
      </c>
      <c r="M109" s="26">
        <f>0</f>
        <v>0</v>
      </c>
    </row>
    <row r="110" spans="1:14">
      <c r="A110" s="15" t="s">
        <v>130</v>
      </c>
      <c r="B110" s="69"/>
      <c r="C110" s="49" t="s">
        <v>131</v>
      </c>
      <c r="D110" s="23">
        <f>0</f>
        <v>0</v>
      </c>
      <c r="E110" s="26">
        <f>0</f>
        <v>0</v>
      </c>
      <c r="F110" s="26">
        <f>0</f>
        <v>0</v>
      </c>
      <c r="G110" s="26">
        <f>0</f>
        <v>0</v>
      </c>
      <c r="H110" s="26">
        <f>0</f>
        <v>0</v>
      </c>
      <c r="I110" s="26">
        <f>0</f>
        <v>0</v>
      </c>
      <c r="J110" s="26">
        <f>0</f>
        <v>0</v>
      </c>
      <c r="K110" s="26">
        <f>0</f>
        <v>0</v>
      </c>
      <c r="L110" s="26">
        <f>0</f>
        <v>0</v>
      </c>
      <c r="M110" s="26">
        <f>0</f>
        <v>0</v>
      </c>
    </row>
    <row r="111" spans="1:14" ht="33.75">
      <c r="A111" s="15" t="s">
        <v>132</v>
      </c>
      <c r="B111" s="11"/>
      <c r="C111" s="50" t="s">
        <v>133</v>
      </c>
      <c r="D111" s="23">
        <f>0</f>
        <v>0</v>
      </c>
      <c r="E111" s="26">
        <f>0</f>
        <v>0</v>
      </c>
      <c r="F111" s="26">
        <f>0</f>
        <v>0</v>
      </c>
      <c r="G111" s="26">
        <f>0</f>
        <v>0</v>
      </c>
      <c r="H111" s="26">
        <f>0</f>
        <v>0</v>
      </c>
      <c r="I111" s="26">
        <f>0</f>
        <v>0</v>
      </c>
      <c r="J111" s="26">
        <f>0</f>
        <v>0</v>
      </c>
      <c r="K111" s="26">
        <f>0</f>
        <v>0</v>
      </c>
      <c r="L111" s="26">
        <f>0</f>
        <v>0</v>
      </c>
      <c r="M111" s="26">
        <f>0</f>
        <v>0</v>
      </c>
    </row>
    <row r="112" spans="1:14" ht="26.25" customHeight="1">
      <c r="A112" s="65" t="s">
        <v>134</v>
      </c>
      <c r="B112" s="9" t="s">
        <v>3</v>
      </c>
      <c r="C112" s="83" t="s">
        <v>135</v>
      </c>
      <c r="D112" s="23">
        <v>1747163</v>
      </c>
      <c r="E112" s="63">
        <f>0</f>
        <v>0</v>
      </c>
      <c r="F112" s="63">
        <f>0</f>
        <v>0</v>
      </c>
      <c r="G112" s="63">
        <f>0</f>
        <v>0</v>
      </c>
      <c r="H112" s="63">
        <f>0</f>
        <v>0</v>
      </c>
      <c r="I112" s="63">
        <f>0</f>
        <v>0</v>
      </c>
      <c r="J112" s="63">
        <f>0</f>
        <v>0</v>
      </c>
      <c r="K112" s="63">
        <f>0</f>
        <v>0</v>
      </c>
      <c r="L112" s="63">
        <f>0</f>
        <v>0</v>
      </c>
      <c r="M112" s="63">
        <f>0</f>
        <v>0</v>
      </c>
    </row>
    <row r="113" spans="1:14" ht="22.5" customHeight="1">
      <c r="A113" s="84"/>
      <c r="B113" s="7" t="s">
        <v>6</v>
      </c>
      <c r="C113" s="81"/>
      <c r="D113" s="23">
        <f>2580611</f>
        <v>2580611</v>
      </c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1:14">
      <c r="A114" s="65" t="s">
        <v>136</v>
      </c>
      <c r="B114" s="9" t="s">
        <v>3</v>
      </c>
      <c r="C114" s="86" t="s">
        <v>131</v>
      </c>
      <c r="D114" s="23">
        <v>1485089</v>
      </c>
      <c r="E114" s="63">
        <f>0</f>
        <v>0</v>
      </c>
      <c r="F114" s="63">
        <f>0</f>
        <v>0</v>
      </c>
      <c r="G114" s="63">
        <f>0</f>
        <v>0</v>
      </c>
      <c r="H114" s="63">
        <f>0</f>
        <v>0</v>
      </c>
      <c r="I114" s="63">
        <f>0</f>
        <v>0</v>
      </c>
      <c r="J114" s="63">
        <f>0</f>
        <v>0</v>
      </c>
      <c r="K114" s="63">
        <f>0</f>
        <v>0</v>
      </c>
      <c r="L114" s="63">
        <f>0</f>
        <v>0</v>
      </c>
      <c r="M114" s="63">
        <f>0</f>
        <v>0</v>
      </c>
    </row>
    <row r="115" spans="1:14">
      <c r="A115" s="66"/>
      <c r="B115" s="7" t="s">
        <v>6</v>
      </c>
      <c r="C115" s="81"/>
      <c r="D115" s="23">
        <f>2318537</f>
        <v>2318537</v>
      </c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4" ht="23.25" customHeight="1">
      <c r="A116" s="65" t="s">
        <v>137</v>
      </c>
      <c r="B116" s="9" t="s">
        <v>3</v>
      </c>
      <c r="C116" s="87" t="s">
        <v>138</v>
      </c>
      <c r="D116" s="23">
        <v>1485089</v>
      </c>
      <c r="E116" s="63">
        <f>0</f>
        <v>0</v>
      </c>
      <c r="F116" s="63">
        <f>0</f>
        <v>0</v>
      </c>
      <c r="G116" s="63">
        <f>0</f>
        <v>0</v>
      </c>
      <c r="H116" s="63">
        <f>0</f>
        <v>0</v>
      </c>
      <c r="I116" s="63">
        <f>0</f>
        <v>0</v>
      </c>
      <c r="J116" s="63">
        <f>0</f>
        <v>0</v>
      </c>
      <c r="K116" s="63">
        <f>0</f>
        <v>0</v>
      </c>
      <c r="L116" s="63">
        <f>0</f>
        <v>0</v>
      </c>
      <c r="M116" s="63">
        <f>0</f>
        <v>0</v>
      </c>
    </row>
    <row r="117" spans="1:14">
      <c r="A117" s="66"/>
      <c r="B117" s="7" t="s">
        <v>6</v>
      </c>
      <c r="C117" s="81"/>
      <c r="D117" s="23">
        <f>2318537</f>
        <v>2318537</v>
      </c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4">
      <c r="A118" s="65" t="s">
        <v>139</v>
      </c>
      <c r="B118" s="9" t="s">
        <v>3</v>
      </c>
      <c r="C118" s="83" t="s">
        <v>140</v>
      </c>
      <c r="D118" s="23">
        <v>13600</v>
      </c>
      <c r="E118" s="63">
        <f>0</f>
        <v>0</v>
      </c>
      <c r="F118" s="63">
        <f>0</f>
        <v>0</v>
      </c>
      <c r="G118" s="63">
        <f>0</f>
        <v>0</v>
      </c>
      <c r="H118" s="63">
        <f>0</f>
        <v>0</v>
      </c>
      <c r="I118" s="63">
        <f>0</f>
        <v>0</v>
      </c>
      <c r="J118" s="63">
        <f>0</f>
        <v>0</v>
      </c>
      <c r="K118" s="63">
        <f>0</f>
        <v>0</v>
      </c>
      <c r="L118" s="63">
        <f>0</f>
        <v>0</v>
      </c>
      <c r="M118" s="63">
        <f>0</f>
        <v>0</v>
      </c>
    </row>
    <row r="119" spans="1:14" ht="24.75" customHeight="1">
      <c r="A119" s="66"/>
      <c r="B119" s="7" t="s">
        <v>6</v>
      </c>
      <c r="C119" s="81"/>
      <c r="D119" s="23">
        <f>26100</f>
        <v>26100</v>
      </c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4" ht="14.25" customHeight="1">
      <c r="A120" s="65" t="s">
        <v>141</v>
      </c>
      <c r="B120" s="9" t="s">
        <v>3</v>
      </c>
      <c r="C120" s="86" t="s">
        <v>142</v>
      </c>
      <c r="D120" s="23">
        <v>13600</v>
      </c>
      <c r="E120" s="63">
        <f>0</f>
        <v>0</v>
      </c>
      <c r="F120" s="63">
        <f>0</f>
        <v>0</v>
      </c>
      <c r="G120" s="63">
        <f>0</f>
        <v>0</v>
      </c>
      <c r="H120" s="63">
        <f>0</f>
        <v>0</v>
      </c>
      <c r="I120" s="63">
        <f>0</f>
        <v>0</v>
      </c>
      <c r="J120" s="63">
        <f>0</f>
        <v>0</v>
      </c>
      <c r="K120" s="63">
        <f>0</f>
        <v>0</v>
      </c>
      <c r="L120" s="63">
        <f>0</f>
        <v>0</v>
      </c>
      <c r="M120" s="63">
        <f>0</f>
        <v>0</v>
      </c>
    </row>
    <row r="121" spans="1:14" ht="15" customHeight="1">
      <c r="A121" s="84"/>
      <c r="B121" s="7" t="s">
        <v>6</v>
      </c>
      <c r="C121" s="81"/>
      <c r="D121" s="23">
        <f>26100</f>
        <v>26100</v>
      </c>
      <c r="E121" s="82"/>
      <c r="F121" s="82"/>
      <c r="G121" s="82"/>
      <c r="H121" s="82"/>
      <c r="I121" s="82"/>
      <c r="J121" s="82"/>
      <c r="K121" s="82"/>
      <c r="L121" s="82"/>
      <c r="M121" s="82"/>
    </row>
    <row r="122" spans="1:14" ht="21" customHeight="1">
      <c r="A122" s="14" t="s">
        <v>1</v>
      </c>
      <c r="B122" s="2"/>
      <c r="C122" s="14" t="s">
        <v>2</v>
      </c>
      <c r="D122" s="20">
        <f>+[1]DaneZrodlowe!$N$1</f>
        <v>2015</v>
      </c>
      <c r="E122" s="20">
        <f>+D122+1</f>
        <v>2016</v>
      </c>
      <c r="F122" s="20">
        <f t="shared" ref="F122" si="26">+E122+1</f>
        <v>2017</v>
      </c>
      <c r="G122" s="20">
        <f t="shared" ref="G122" si="27">+F122+1</f>
        <v>2018</v>
      </c>
      <c r="H122" s="20">
        <f t="shared" ref="H122" si="28">+G122+1</f>
        <v>2019</v>
      </c>
      <c r="I122" s="20">
        <f t="shared" ref="I122" si="29">+H122+1</f>
        <v>2020</v>
      </c>
      <c r="J122" s="20">
        <f t="shared" ref="J122" si="30">+I122+1</f>
        <v>2021</v>
      </c>
      <c r="K122" s="20">
        <f t="shared" ref="K122" si="31">+J122+1</f>
        <v>2022</v>
      </c>
      <c r="L122" s="20">
        <f t="shared" ref="L122" si="32">+K122+1</f>
        <v>2023</v>
      </c>
      <c r="M122" s="20">
        <f t="shared" ref="M122" si="33">+L122+1</f>
        <v>2024</v>
      </c>
      <c r="N122" s="3"/>
    </row>
    <row r="123" spans="1:14" ht="20.25" customHeight="1">
      <c r="A123" s="65" t="s">
        <v>143</v>
      </c>
      <c r="B123" s="9" t="s">
        <v>3</v>
      </c>
      <c r="C123" s="80" t="s">
        <v>144</v>
      </c>
      <c r="D123" s="23">
        <v>13600</v>
      </c>
      <c r="E123" s="63">
        <f>0</f>
        <v>0</v>
      </c>
      <c r="F123" s="63">
        <f>0</f>
        <v>0</v>
      </c>
      <c r="G123" s="63">
        <f>0</f>
        <v>0</v>
      </c>
      <c r="H123" s="63">
        <f>0</f>
        <v>0</v>
      </c>
      <c r="I123" s="63">
        <f>0</f>
        <v>0</v>
      </c>
      <c r="J123" s="63">
        <f>0</f>
        <v>0</v>
      </c>
      <c r="K123" s="63">
        <f>0</f>
        <v>0</v>
      </c>
      <c r="L123" s="63">
        <f>0</f>
        <v>0</v>
      </c>
      <c r="M123" s="63">
        <f>0</f>
        <v>0</v>
      </c>
    </row>
    <row r="124" spans="1:14" ht="27" customHeight="1">
      <c r="A124" s="84"/>
      <c r="B124" s="7" t="s">
        <v>6</v>
      </c>
      <c r="C124" s="85"/>
      <c r="D124" s="23">
        <f>26100</f>
        <v>26100</v>
      </c>
      <c r="E124" s="82"/>
      <c r="F124" s="82"/>
      <c r="G124" s="82"/>
      <c r="H124" s="82"/>
      <c r="I124" s="82"/>
      <c r="J124" s="82"/>
      <c r="K124" s="82"/>
      <c r="L124" s="82"/>
      <c r="M124" s="82"/>
    </row>
    <row r="125" spans="1:14" ht="21" customHeight="1">
      <c r="A125" s="65" t="s">
        <v>145</v>
      </c>
      <c r="B125" s="9" t="s">
        <v>3</v>
      </c>
      <c r="C125" s="83" t="s">
        <v>146</v>
      </c>
      <c r="D125" s="23">
        <v>1839120</v>
      </c>
      <c r="E125" s="63">
        <f>0</f>
        <v>0</v>
      </c>
      <c r="F125" s="63">
        <f>0</f>
        <v>0</v>
      </c>
      <c r="G125" s="63">
        <f>0</f>
        <v>0</v>
      </c>
      <c r="H125" s="63">
        <f>0</f>
        <v>0</v>
      </c>
      <c r="I125" s="63">
        <f>0</f>
        <v>0</v>
      </c>
      <c r="J125" s="63">
        <f>0</f>
        <v>0</v>
      </c>
      <c r="K125" s="63">
        <f>0</f>
        <v>0</v>
      </c>
      <c r="L125" s="63">
        <f>0</f>
        <v>0</v>
      </c>
      <c r="M125" s="63">
        <f>0</f>
        <v>0</v>
      </c>
    </row>
    <row r="126" spans="1:14" ht="18" customHeight="1">
      <c r="A126" s="66"/>
      <c r="B126" s="7" t="s">
        <v>6</v>
      </c>
      <c r="C126" s="81"/>
      <c r="D126" s="23">
        <f>3189138</f>
        <v>3189138</v>
      </c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4">
      <c r="A127" s="65" t="s">
        <v>147</v>
      </c>
      <c r="B127" s="9" t="s">
        <v>3</v>
      </c>
      <c r="C127" s="86" t="s">
        <v>148</v>
      </c>
      <c r="D127" s="23">
        <v>1563252</v>
      </c>
      <c r="E127" s="63">
        <f>0</f>
        <v>0</v>
      </c>
      <c r="F127" s="63">
        <f>0</f>
        <v>0</v>
      </c>
      <c r="G127" s="63">
        <f>0</f>
        <v>0</v>
      </c>
      <c r="H127" s="63">
        <f>0</f>
        <v>0</v>
      </c>
      <c r="I127" s="63">
        <f>0</f>
        <v>0</v>
      </c>
      <c r="J127" s="63">
        <f>0</f>
        <v>0</v>
      </c>
      <c r="K127" s="63">
        <f>0</f>
        <v>0</v>
      </c>
      <c r="L127" s="63">
        <f>0</f>
        <v>0</v>
      </c>
      <c r="M127" s="63">
        <f>0</f>
        <v>0</v>
      </c>
    </row>
    <row r="128" spans="1:14">
      <c r="A128" s="84"/>
      <c r="B128" s="7" t="s">
        <v>6</v>
      </c>
      <c r="C128" s="81"/>
      <c r="D128" s="23">
        <f>2504908</f>
        <v>2504908</v>
      </c>
      <c r="E128" s="82"/>
      <c r="F128" s="82"/>
      <c r="G128" s="82"/>
      <c r="H128" s="82"/>
      <c r="I128" s="82"/>
      <c r="J128" s="82"/>
      <c r="K128" s="82"/>
      <c r="L128" s="82"/>
      <c r="M128" s="82"/>
    </row>
    <row r="129" spans="1:14" ht="24" customHeight="1">
      <c r="A129" s="65" t="s">
        <v>149</v>
      </c>
      <c r="B129" s="9" t="s">
        <v>3</v>
      </c>
      <c r="C129" s="80" t="s">
        <v>150</v>
      </c>
      <c r="D129" s="23">
        <v>1563252</v>
      </c>
      <c r="E129" s="63">
        <f>0</f>
        <v>0</v>
      </c>
      <c r="F129" s="63">
        <f>0</f>
        <v>0</v>
      </c>
      <c r="G129" s="63">
        <f>0</f>
        <v>0</v>
      </c>
      <c r="H129" s="63">
        <f>0</f>
        <v>0</v>
      </c>
      <c r="I129" s="63">
        <f>0</f>
        <v>0</v>
      </c>
      <c r="J129" s="63">
        <f>0</f>
        <v>0</v>
      </c>
      <c r="K129" s="63">
        <f>0</f>
        <v>0</v>
      </c>
      <c r="L129" s="63">
        <f>0</f>
        <v>0</v>
      </c>
      <c r="M129" s="63">
        <f>0</f>
        <v>0</v>
      </c>
    </row>
    <row r="130" spans="1:14" ht="21.75" customHeight="1">
      <c r="A130" s="84"/>
      <c r="B130" s="7" t="s">
        <v>6</v>
      </c>
      <c r="C130" s="85"/>
      <c r="D130" s="23">
        <f>2504908</f>
        <v>2504908</v>
      </c>
      <c r="E130" s="82"/>
      <c r="F130" s="82"/>
      <c r="G130" s="82"/>
      <c r="H130" s="82"/>
      <c r="I130" s="82"/>
      <c r="J130" s="82"/>
      <c r="K130" s="82"/>
      <c r="L130" s="82"/>
      <c r="M130" s="82"/>
    </row>
    <row r="131" spans="1:14" ht="22.5" customHeight="1">
      <c r="A131" s="65" t="s">
        <v>151</v>
      </c>
      <c r="B131" s="9" t="s">
        <v>3</v>
      </c>
      <c r="C131" s="83" t="s">
        <v>152</v>
      </c>
      <c r="D131" s="23">
        <v>275868</v>
      </c>
      <c r="E131" s="63">
        <f>0</f>
        <v>0</v>
      </c>
      <c r="F131" s="63">
        <f>0</f>
        <v>0</v>
      </c>
      <c r="G131" s="63">
        <f>0</f>
        <v>0</v>
      </c>
      <c r="H131" s="63">
        <f>0</f>
        <v>0</v>
      </c>
      <c r="I131" s="63">
        <f>0</f>
        <v>0</v>
      </c>
      <c r="J131" s="63">
        <f>0</f>
        <v>0</v>
      </c>
      <c r="K131" s="63">
        <f>0</f>
        <v>0</v>
      </c>
      <c r="L131" s="63">
        <f>0</f>
        <v>0</v>
      </c>
      <c r="M131" s="63">
        <f>0</f>
        <v>0</v>
      </c>
    </row>
    <row r="132" spans="1:14" ht="27" customHeight="1">
      <c r="A132" s="66"/>
      <c r="B132" s="7" t="s">
        <v>6</v>
      </c>
      <c r="C132" s="81"/>
      <c r="D132" s="23">
        <f>684230</f>
        <v>684230</v>
      </c>
      <c r="E132" s="64"/>
      <c r="F132" s="64"/>
      <c r="G132" s="64"/>
      <c r="H132" s="64"/>
      <c r="I132" s="64"/>
      <c r="J132" s="64"/>
      <c r="K132" s="64"/>
      <c r="L132" s="64"/>
      <c r="M132" s="64"/>
    </row>
    <row r="133" spans="1:14" ht="14.25" customHeight="1">
      <c r="A133" s="65" t="s">
        <v>153</v>
      </c>
      <c r="B133" s="9" t="s">
        <v>3</v>
      </c>
      <c r="C133" s="80" t="s">
        <v>154</v>
      </c>
      <c r="D133" s="23">
        <v>275868</v>
      </c>
      <c r="E133" s="63">
        <f>0</f>
        <v>0</v>
      </c>
      <c r="F133" s="63">
        <f>0</f>
        <v>0</v>
      </c>
      <c r="G133" s="63">
        <f>0</f>
        <v>0</v>
      </c>
      <c r="H133" s="63">
        <f>0</f>
        <v>0</v>
      </c>
      <c r="I133" s="63">
        <f>0</f>
        <v>0</v>
      </c>
      <c r="J133" s="63">
        <f>0</f>
        <v>0</v>
      </c>
      <c r="K133" s="63">
        <f>0</f>
        <v>0</v>
      </c>
      <c r="L133" s="63">
        <f>0</f>
        <v>0</v>
      </c>
      <c r="M133" s="63">
        <f>0</f>
        <v>0</v>
      </c>
    </row>
    <row r="134" spans="1:14" ht="13.5" customHeight="1">
      <c r="A134" s="66"/>
      <c r="B134" s="7" t="s">
        <v>6</v>
      </c>
      <c r="C134" s="81"/>
      <c r="D134" s="23">
        <f>684230</f>
        <v>684230</v>
      </c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1:14" ht="51" customHeight="1">
      <c r="A135" s="15" t="s">
        <v>155</v>
      </c>
      <c r="B135" s="73" t="s">
        <v>195</v>
      </c>
      <c r="C135" s="31" t="s">
        <v>156</v>
      </c>
      <c r="D135" s="23">
        <f>0</f>
        <v>0</v>
      </c>
      <c r="E135" s="26">
        <f>0</f>
        <v>0</v>
      </c>
      <c r="F135" s="26">
        <f>0</f>
        <v>0</v>
      </c>
      <c r="G135" s="26">
        <f>0</f>
        <v>0</v>
      </c>
      <c r="H135" s="26">
        <f>0</f>
        <v>0</v>
      </c>
      <c r="I135" s="26">
        <f>0</f>
        <v>0</v>
      </c>
      <c r="J135" s="26">
        <f>0</f>
        <v>0</v>
      </c>
      <c r="K135" s="26">
        <f>0</f>
        <v>0</v>
      </c>
      <c r="L135" s="26">
        <f>0</f>
        <v>0</v>
      </c>
      <c r="M135" s="26">
        <f>0</f>
        <v>0</v>
      </c>
    </row>
    <row r="136" spans="1:14" ht="22.5">
      <c r="A136" s="15" t="s">
        <v>157</v>
      </c>
      <c r="B136" s="74"/>
      <c r="C136" s="27" t="s">
        <v>154</v>
      </c>
      <c r="D136" s="23">
        <f>0</f>
        <v>0</v>
      </c>
      <c r="E136" s="26">
        <f>0</f>
        <v>0</v>
      </c>
      <c r="F136" s="26">
        <f>0</f>
        <v>0</v>
      </c>
      <c r="G136" s="26">
        <f>0</f>
        <v>0</v>
      </c>
      <c r="H136" s="26">
        <f>0</f>
        <v>0</v>
      </c>
      <c r="I136" s="26">
        <f>0</f>
        <v>0</v>
      </c>
      <c r="J136" s="26">
        <f>0</f>
        <v>0</v>
      </c>
      <c r="K136" s="26">
        <f>0</f>
        <v>0</v>
      </c>
      <c r="L136" s="26">
        <f>0</f>
        <v>0</v>
      </c>
      <c r="M136" s="26">
        <f>0</f>
        <v>0</v>
      </c>
    </row>
    <row r="137" spans="1:14" ht="67.5">
      <c r="A137" s="15" t="s">
        <v>158</v>
      </c>
      <c r="B137" s="73" t="s">
        <v>197</v>
      </c>
      <c r="C137" s="31" t="s">
        <v>159</v>
      </c>
      <c r="D137" s="23">
        <f>0</f>
        <v>0</v>
      </c>
      <c r="E137" s="26">
        <f>0</f>
        <v>0</v>
      </c>
      <c r="F137" s="26">
        <f>0</f>
        <v>0</v>
      </c>
      <c r="G137" s="26">
        <f>0</f>
        <v>0</v>
      </c>
      <c r="H137" s="26">
        <f>0</f>
        <v>0</v>
      </c>
      <c r="I137" s="26">
        <f>0</f>
        <v>0</v>
      </c>
      <c r="J137" s="26">
        <f>0</f>
        <v>0</v>
      </c>
      <c r="K137" s="26">
        <f>0</f>
        <v>0</v>
      </c>
      <c r="L137" s="26">
        <f>0</f>
        <v>0</v>
      </c>
      <c r="M137" s="26">
        <f>0</f>
        <v>0</v>
      </c>
    </row>
    <row r="138" spans="1:14" ht="26.25" customHeight="1">
      <c r="A138" s="15" t="s">
        <v>160</v>
      </c>
      <c r="B138" s="75"/>
      <c r="C138" s="27" t="s">
        <v>154</v>
      </c>
      <c r="D138" s="23">
        <f>0</f>
        <v>0</v>
      </c>
      <c r="E138" s="26">
        <f>0</f>
        <v>0</v>
      </c>
      <c r="F138" s="26">
        <f>0</f>
        <v>0</v>
      </c>
      <c r="G138" s="26">
        <f>0</f>
        <v>0</v>
      </c>
      <c r="H138" s="26">
        <f>0</f>
        <v>0</v>
      </c>
      <c r="I138" s="26">
        <f>0</f>
        <v>0</v>
      </c>
      <c r="J138" s="26">
        <f>0</f>
        <v>0</v>
      </c>
      <c r="K138" s="26">
        <f>0</f>
        <v>0</v>
      </c>
      <c r="L138" s="26">
        <f>0</f>
        <v>0</v>
      </c>
      <c r="M138" s="26">
        <f>0</f>
        <v>0</v>
      </c>
    </row>
    <row r="139" spans="1:14" ht="56.25">
      <c r="A139" s="15" t="s">
        <v>161</v>
      </c>
      <c r="B139" s="75"/>
      <c r="C139" s="31" t="s">
        <v>162</v>
      </c>
      <c r="D139" s="23">
        <f>0</f>
        <v>0</v>
      </c>
      <c r="E139" s="26">
        <f>0</f>
        <v>0</v>
      </c>
      <c r="F139" s="26">
        <f>0</f>
        <v>0</v>
      </c>
      <c r="G139" s="26">
        <f>0</f>
        <v>0</v>
      </c>
      <c r="H139" s="26">
        <f>0</f>
        <v>0</v>
      </c>
      <c r="I139" s="26">
        <f>0</f>
        <v>0</v>
      </c>
      <c r="J139" s="26">
        <f>0</f>
        <v>0</v>
      </c>
      <c r="K139" s="26">
        <f>0</f>
        <v>0</v>
      </c>
      <c r="L139" s="26">
        <f>0</f>
        <v>0</v>
      </c>
      <c r="M139" s="26">
        <f>0</f>
        <v>0</v>
      </c>
    </row>
    <row r="140" spans="1:14" ht="22.5">
      <c r="A140" s="15" t="s">
        <v>163</v>
      </c>
      <c r="B140" s="74"/>
      <c r="C140" s="27" t="s">
        <v>154</v>
      </c>
      <c r="D140" s="23">
        <f>0</f>
        <v>0</v>
      </c>
      <c r="E140" s="26">
        <f>0</f>
        <v>0</v>
      </c>
      <c r="F140" s="26">
        <f>0</f>
        <v>0</v>
      </c>
      <c r="G140" s="26">
        <f>0</f>
        <v>0</v>
      </c>
      <c r="H140" s="26">
        <f>0</f>
        <v>0</v>
      </c>
      <c r="I140" s="26">
        <f>0</f>
        <v>0</v>
      </c>
      <c r="J140" s="26">
        <f>0</f>
        <v>0</v>
      </c>
      <c r="K140" s="26">
        <f>0</f>
        <v>0</v>
      </c>
      <c r="L140" s="26">
        <f>0</f>
        <v>0</v>
      </c>
      <c r="M140" s="26">
        <f>0</f>
        <v>0</v>
      </c>
    </row>
    <row r="141" spans="1:14" ht="38.25" customHeight="1">
      <c r="A141" s="16">
        <v>13</v>
      </c>
      <c r="B141" s="7"/>
      <c r="C141" s="51" t="s">
        <v>164</v>
      </c>
      <c r="D141" s="33" t="s">
        <v>5</v>
      </c>
      <c r="E141" s="34" t="s">
        <v>5</v>
      </c>
      <c r="F141" s="34" t="s">
        <v>5</v>
      </c>
      <c r="G141" s="34" t="s">
        <v>5</v>
      </c>
      <c r="H141" s="34" t="s">
        <v>5</v>
      </c>
      <c r="I141" s="34" t="s">
        <v>5</v>
      </c>
      <c r="J141" s="34" t="s">
        <v>5</v>
      </c>
      <c r="K141" s="34" t="s">
        <v>5</v>
      </c>
      <c r="L141" s="34" t="s">
        <v>5</v>
      </c>
      <c r="M141" s="34" t="s">
        <v>5</v>
      </c>
      <c r="N141" s="8"/>
    </row>
    <row r="142" spans="1:14" ht="45">
      <c r="A142" s="15" t="s">
        <v>165</v>
      </c>
      <c r="B142" s="73" t="s">
        <v>166</v>
      </c>
      <c r="C142" s="31" t="s">
        <v>167</v>
      </c>
      <c r="D142" s="23">
        <f>0</f>
        <v>0</v>
      </c>
      <c r="E142" s="26">
        <f>0</f>
        <v>0</v>
      </c>
      <c r="F142" s="26">
        <f>0</f>
        <v>0</v>
      </c>
      <c r="G142" s="26">
        <f>0</f>
        <v>0</v>
      </c>
      <c r="H142" s="26">
        <f>0</f>
        <v>0</v>
      </c>
      <c r="I142" s="26">
        <f>0</f>
        <v>0</v>
      </c>
      <c r="J142" s="26">
        <f>0</f>
        <v>0</v>
      </c>
      <c r="K142" s="26">
        <f>0</f>
        <v>0</v>
      </c>
      <c r="L142" s="26">
        <f>0</f>
        <v>0</v>
      </c>
      <c r="M142" s="26">
        <f>0</f>
        <v>0</v>
      </c>
    </row>
    <row r="143" spans="1:14" ht="45">
      <c r="A143" s="15" t="s">
        <v>168</v>
      </c>
      <c r="B143" s="78"/>
      <c r="C143" s="31" t="s">
        <v>169</v>
      </c>
      <c r="D143" s="23">
        <f>0</f>
        <v>0</v>
      </c>
      <c r="E143" s="26">
        <f>0</f>
        <v>0</v>
      </c>
      <c r="F143" s="26">
        <f>0</f>
        <v>0</v>
      </c>
      <c r="G143" s="26">
        <f>0</f>
        <v>0</v>
      </c>
      <c r="H143" s="26">
        <f>0</f>
        <v>0</v>
      </c>
      <c r="I143" s="26">
        <f>0</f>
        <v>0</v>
      </c>
      <c r="J143" s="26">
        <f>0</f>
        <v>0</v>
      </c>
      <c r="K143" s="26">
        <f>0</f>
        <v>0</v>
      </c>
      <c r="L143" s="26">
        <f>0</f>
        <v>0</v>
      </c>
      <c r="M143" s="26">
        <f>0</f>
        <v>0</v>
      </c>
    </row>
    <row r="144" spans="1:14" ht="21" customHeight="1">
      <c r="A144" s="14" t="s">
        <v>1</v>
      </c>
      <c r="B144" s="14"/>
      <c r="C144" s="14" t="s">
        <v>2</v>
      </c>
      <c r="D144" s="20">
        <f>+[1]DaneZrodlowe!$N$1</f>
        <v>2015</v>
      </c>
      <c r="E144" s="20">
        <f>+D144+1</f>
        <v>2016</v>
      </c>
      <c r="F144" s="20">
        <f t="shared" ref="F144" si="34">+E144+1</f>
        <v>2017</v>
      </c>
      <c r="G144" s="20">
        <f t="shared" ref="G144" si="35">+F144+1</f>
        <v>2018</v>
      </c>
      <c r="H144" s="20">
        <f t="shared" ref="H144" si="36">+G144+1</f>
        <v>2019</v>
      </c>
      <c r="I144" s="20">
        <f t="shared" ref="I144" si="37">+H144+1</f>
        <v>2020</v>
      </c>
      <c r="J144" s="20">
        <f t="shared" ref="J144" si="38">+I144+1</f>
        <v>2021</v>
      </c>
      <c r="K144" s="20">
        <f t="shared" ref="K144" si="39">+J144+1</f>
        <v>2022</v>
      </c>
      <c r="L144" s="20">
        <f t="shared" ref="L144" si="40">+K144+1</f>
        <v>2023</v>
      </c>
      <c r="M144" s="20">
        <f t="shared" ref="M144" si="41">+L144+1</f>
        <v>2024</v>
      </c>
      <c r="N144" s="3"/>
    </row>
    <row r="145" spans="1:14" ht="22.5">
      <c r="A145" s="15" t="s">
        <v>170</v>
      </c>
      <c r="B145" s="75" t="s">
        <v>200</v>
      </c>
      <c r="C145" s="31" t="s">
        <v>171</v>
      </c>
      <c r="D145" s="23">
        <f>0</f>
        <v>0</v>
      </c>
      <c r="E145" s="26">
        <f>0</f>
        <v>0</v>
      </c>
      <c r="F145" s="26">
        <f>0</f>
        <v>0</v>
      </c>
      <c r="G145" s="26">
        <f>0</f>
        <v>0</v>
      </c>
      <c r="H145" s="26">
        <f>0</f>
        <v>0</v>
      </c>
      <c r="I145" s="26">
        <f>0</f>
        <v>0</v>
      </c>
      <c r="J145" s="26">
        <f>0</f>
        <v>0</v>
      </c>
      <c r="K145" s="26">
        <f>0</f>
        <v>0</v>
      </c>
      <c r="L145" s="26">
        <f>0</f>
        <v>0</v>
      </c>
      <c r="M145" s="26">
        <f>0</f>
        <v>0</v>
      </c>
    </row>
    <row r="146" spans="1:14" ht="45">
      <c r="A146" s="15" t="s">
        <v>172</v>
      </c>
      <c r="B146" s="78"/>
      <c r="C146" s="31" t="s">
        <v>173</v>
      </c>
      <c r="D146" s="23">
        <f>0</f>
        <v>0</v>
      </c>
      <c r="E146" s="26">
        <f>0</f>
        <v>0</v>
      </c>
      <c r="F146" s="26">
        <f>0</f>
        <v>0</v>
      </c>
      <c r="G146" s="26">
        <f>0</f>
        <v>0</v>
      </c>
      <c r="H146" s="26">
        <f>0</f>
        <v>0</v>
      </c>
      <c r="I146" s="26">
        <f>0</f>
        <v>0</v>
      </c>
      <c r="J146" s="26">
        <f>0</f>
        <v>0</v>
      </c>
      <c r="K146" s="26">
        <f>0</f>
        <v>0</v>
      </c>
      <c r="L146" s="26">
        <f>0</f>
        <v>0</v>
      </c>
      <c r="M146" s="26">
        <f>0</f>
        <v>0</v>
      </c>
    </row>
    <row r="147" spans="1:14" ht="45">
      <c r="A147" s="15" t="s">
        <v>174</v>
      </c>
      <c r="B147" s="78"/>
      <c r="C147" s="31" t="s">
        <v>175</v>
      </c>
      <c r="D147" s="23">
        <f>0</f>
        <v>0</v>
      </c>
      <c r="E147" s="26">
        <f>0</f>
        <v>0</v>
      </c>
      <c r="F147" s="26">
        <f>0</f>
        <v>0</v>
      </c>
      <c r="G147" s="26">
        <f>0</f>
        <v>0</v>
      </c>
      <c r="H147" s="26">
        <f>0</f>
        <v>0</v>
      </c>
      <c r="I147" s="26">
        <f>0</f>
        <v>0</v>
      </c>
      <c r="J147" s="26">
        <f>0</f>
        <v>0</v>
      </c>
      <c r="K147" s="26">
        <f>0</f>
        <v>0</v>
      </c>
      <c r="L147" s="26">
        <f>0</f>
        <v>0</v>
      </c>
      <c r="M147" s="26">
        <f>0</f>
        <v>0</v>
      </c>
    </row>
    <row r="148" spans="1:14" ht="33.75">
      <c r="A148" s="15" t="s">
        <v>176</v>
      </c>
      <c r="B148" s="79"/>
      <c r="C148" s="31" t="s">
        <v>177</v>
      </c>
      <c r="D148" s="23">
        <f>0</f>
        <v>0</v>
      </c>
      <c r="E148" s="26">
        <f>0</f>
        <v>0</v>
      </c>
      <c r="F148" s="26">
        <f>0</f>
        <v>0</v>
      </c>
      <c r="G148" s="26">
        <f>0</f>
        <v>0</v>
      </c>
      <c r="H148" s="26">
        <f>0</f>
        <v>0</v>
      </c>
      <c r="I148" s="26">
        <f>0</f>
        <v>0</v>
      </c>
      <c r="J148" s="26">
        <f>0</f>
        <v>0</v>
      </c>
      <c r="K148" s="26">
        <f>0</f>
        <v>0</v>
      </c>
      <c r="L148" s="26">
        <f>0</f>
        <v>0</v>
      </c>
      <c r="M148" s="26">
        <f>0</f>
        <v>0</v>
      </c>
    </row>
    <row r="149" spans="1:14" ht="33.75">
      <c r="A149" s="15" t="s">
        <v>178</v>
      </c>
      <c r="B149" s="62" t="s">
        <v>201</v>
      </c>
      <c r="C149" s="31" t="s">
        <v>179</v>
      </c>
      <c r="D149" s="23">
        <f>0</f>
        <v>0</v>
      </c>
      <c r="E149" s="26">
        <f>0</f>
        <v>0</v>
      </c>
      <c r="F149" s="26">
        <f>0</f>
        <v>0</v>
      </c>
      <c r="G149" s="26">
        <f>0</f>
        <v>0</v>
      </c>
      <c r="H149" s="26">
        <f>0</f>
        <v>0</v>
      </c>
      <c r="I149" s="26">
        <f>0</f>
        <v>0</v>
      </c>
      <c r="J149" s="26">
        <f>0</f>
        <v>0</v>
      </c>
      <c r="K149" s="26">
        <f>0</f>
        <v>0</v>
      </c>
      <c r="L149" s="26">
        <f>0</f>
        <v>0</v>
      </c>
      <c r="M149" s="26">
        <f>0</f>
        <v>0</v>
      </c>
    </row>
    <row r="150" spans="1:14">
      <c r="A150" s="16">
        <v>14</v>
      </c>
      <c r="B150" s="7"/>
      <c r="C150" s="32" t="s">
        <v>180</v>
      </c>
      <c r="D150" s="33" t="s">
        <v>5</v>
      </c>
      <c r="E150" s="34" t="s">
        <v>5</v>
      </c>
      <c r="F150" s="34" t="s">
        <v>5</v>
      </c>
      <c r="G150" s="34" t="s">
        <v>5</v>
      </c>
      <c r="H150" s="34" t="s">
        <v>5</v>
      </c>
      <c r="I150" s="34" t="s">
        <v>5</v>
      </c>
      <c r="J150" s="34" t="s">
        <v>5</v>
      </c>
      <c r="K150" s="34" t="s">
        <v>5</v>
      </c>
      <c r="L150" s="34" t="s">
        <v>5</v>
      </c>
      <c r="M150" s="34" t="s">
        <v>5</v>
      </c>
      <c r="N150" s="8"/>
    </row>
    <row r="151" spans="1:14" ht="21" customHeight="1">
      <c r="A151" s="65" t="s">
        <v>181</v>
      </c>
      <c r="B151" s="7" t="s">
        <v>3</v>
      </c>
      <c r="C151" s="67" t="s">
        <v>182</v>
      </c>
      <c r="D151" s="35">
        <v>835135</v>
      </c>
      <c r="E151" s="38">
        <v>835135</v>
      </c>
      <c r="F151" s="38">
        <v>835135</v>
      </c>
      <c r="G151" s="38">
        <v>785515</v>
      </c>
      <c r="H151" s="38">
        <v>695551</v>
      </c>
      <c r="I151" s="38">
        <v>501551</v>
      </c>
      <c r="J151" s="38">
        <v>501551</v>
      </c>
      <c r="K151" s="38">
        <v>501551</v>
      </c>
      <c r="L151" s="38">
        <v>454151</v>
      </c>
      <c r="M151" s="38">
        <v>239050</v>
      </c>
      <c r="N151" s="8"/>
    </row>
    <row r="152" spans="1:14" ht="23.25" customHeight="1">
      <c r="A152" s="66"/>
      <c r="B152" s="7" t="s">
        <v>6</v>
      </c>
      <c r="C152" s="68"/>
      <c r="D152" s="23">
        <f>866334.88</f>
        <v>866334.88</v>
      </c>
      <c r="E152" s="26">
        <f>897534.88</f>
        <v>897534.88</v>
      </c>
      <c r="F152" s="26">
        <f>897534.88</f>
        <v>897534.88</v>
      </c>
      <c r="G152" s="26">
        <f>847915.45</f>
        <v>847915.45</v>
      </c>
      <c r="H152" s="26">
        <f>757950.88</f>
        <v>757950.88</v>
      </c>
      <c r="I152" s="26">
        <f>563950.88</f>
        <v>563950.88</v>
      </c>
      <c r="J152" s="26">
        <f>563950.88</f>
        <v>563950.88</v>
      </c>
      <c r="K152" s="26">
        <f>563950.88</f>
        <v>563950.88</v>
      </c>
      <c r="L152" s="26">
        <f>486150.88</f>
        <v>486150.88</v>
      </c>
      <c r="M152" s="26">
        <f>239050.84</f>
        <v>239050.84</v>
      </c>
    </row>
    <row r="153" spans="1:14" ht="22.5">
      <c r="A153" s="15" t="s">
        <v>183</v>
      </c>
      <c r="B153" s="69" t="s">
        <v>32</v>
      </c>
      <c r="C153" s="31" t="s">
        <v>184</v>
      </c>
      <c r="D153" s="23">
        <f>0</f>
        <v>0</v>
      </c>
      <c r="E153" s="26">
        <f>0</f>
        <v>0</v>
      </c>
      <c r="F153" s="26">
        <f>0</f>
        <v>0</v>
      </c>
      <c r="G153" s="26">
        <f>0</f>
        <v>0</v>
      </c>
      <c r="H153" s="26">
        <f>0</f>
        <v>0</v>
      </c>
      <c r="I153" s="26">
        <f>0</f>
        <v>0</v>
      </c>
      <c r="J153" s="26">
        <f>0</f>
        <v>0</v>
      </c>
      <c r="K153" s="26">
        <f>0</f>
        <v>0</v>
      </c>
      <c r="L153" s="26">
        <f>0</f>
        <v>0</v>
      </c>
      <c r="M153" s="26">
        <f>0</f>
        <v>0</v>
      </c>
    </row>
    <row r="154" spans="1:14">
      <c r="A154" s="15" t="s">
        <v>185</v>
      </c>
      <c r="B154" s="70"/>
      <c r="C154" s="31" t="s">
        <v>186</v>
      </c>
      <c r="D154" s="23">
        <f>0</f>
        <v>0</v>
      </c>
      <c r="E154" s="26">
        <f>0</f>
        <v>0</v>
      </c>
      <c r="F154" s="26">
        <f>0</f>
        <v>0</v>
      </c>
      <c r="G154" s="26">
        <f>0</f>
        <v>0</v>
      </c>
      <c r="H154" s="26">
        <f>0</f>
        <v>0</v>
      </c>
      <c r="I154" s="26">
        <f>0</f>
        <v>0</v>
      </c>
      <c r="J154" s="26">
        <f>0</f>
        <v>0</v>
      </c>
      <c r="K154" s="26">
        <f>0</f>
        <v>0</v>
      </c>
      <c r="L154" s="26">
        <f>0</f>
        <v>0</v>
      </c>
      <c r="M154" s="26">
        <f>0</f>
        <v>0</v>
      </c>
    </row>
    <row r="155" spans="1:14" ht="22.5">
      <c r="A155" s="15" t="s">
        <v>187</v>
      </c>
      <c r="B155" s="70"/>
      <c r="C155" s="27" t="s">
        <v>188</v>
      </c>
      <c r="D155" s="23">
        <f>0</f>
        <v>0</v>
      </c>
      <c r="E155" s="26">
        <f>0</f>
        <v>0</v>
      </c>
      <c r="F155" s="26">
        <f>0</f>
        <v>0</v>
      </c>
      <c r="G155" s="26">
        <f>0</f>
        <v>0</v>
      </c>
      <c r="H155" s="26">
        <f>0</f>
        <v>0</v>
      </c>
      <c r="I155" s="26">
        <f>0</f>
        <v>0</v>
      </c>
      <c r="J155" s="26">
        <f>0</f>
        <v>0</v>
      </c>
      <c r="K155" s="26">
        <f>0</f>
        <v>0</v>
      </c>
      <c r="L155" s="26">
        <f>0</f>
        <v>0</v>
      </c>
      <c r="M155" s="26">
        <f>0</f>
        <v>0</v>
      </c>
    </row>
    <row r="156" spans="1:14" ht="22.5">
      <c r="A156" s="15" t="s">
        <v>189</v>
      </c>
      <c r="B156" s="70"/>
      <c r="C156" s="27" t="s">
        <v>190</v>
      </c>
      <c r="D156" s="23">
        <f>0</f>
        <v>0</v>
      </c>
      <c r="E156" s="26">
        <f>0</f>
        <v>0</v>
      </c>
      <c r="F156" s="26">
        <f>0</f>
        <v>0</v>
      </c>
      <c r="G156" s="26">
        <f>0</f>
        <v>0</v>
      </c>
      <c r="H156" s="26">
        <f>0</f>
        <v>0</v>
      </c>
      <c r="I156" s="26">
        <f>0</f>
        <v>0</v>
      </c>
      <c r="J156" s="26">
        <f>0</f>
        <v>0</v>
      </c>
      <c r="K156" s="26">
        <f>0</f>
        <v>0</v>
      </c>
      <c r="L156" s="26">
        <f>0</f>
        <v>0</v>
      </c>
      <c r="M156" s="26">
        <f>0</f>
        <v>0</v>
      </c>
    </row>
    <row r="157" spans="1:14">
      <c r="A157" s="15" t="s">
        <v>191</v>
      </c>
      <c r="B157" s="70"/>
      <c r="C157" s="27" t="s">
        <v>192</v>
      </c>
      <c r="D157" s="23">
        <f>0</f>
        <v>0</v>
      </c>
      <c r="E157" s="26">
        <f>0</f>
        <v>0</v>
      </c>
      <c r="F157" s="26">
        <f>0</f>
        <v>0</v>
      </c>
      <c r="G157" s="26">
        <f>0</f>
        <v>0</v>
      </c>
      <c r="H157" s="26">
        <f>0</f>
        <v>0</v>
      </c>
      <c r="I157" s="26">
        <f>0</f>
        <v>0</v>
      </c>
      <c r="J157" s="26">
        <f>0</f>
        <v>0</v>
      </c>
      <c r="K157" s="26">
        <f>0</f>
        <v>0</v>
      </c>
      <c r="L157" s="26">
        <f>0</f>
        <v>0</v>
      </c>
      <c r="M157" s="26">
        <f>0</f>
        <v>0</v>
      </c>
    </row>
    <row r="158" spans="1:14" ht="22.5">
      <c r="A158" s="18" t="s">
        <v>193</v>
      </c>
      <c r="B158" s="71"/>
      <c r="C158" s="52" t="s">
        <v>194</v>
      </c>
      <c r="D158" s="53">
        <f>0</f>
        <v>0</v>
      </c>
      <c r="E158" s="54">
        <f>0</f>
        <v>0</v>
      </c>
      <c r="F158" s="54">
        <f>0</f>
        <v>0</v>
      </c>
      <c r="G158" s="54">
        <f>0</f>
        <v>0</v>
      </c>
      <c r="H158" s="54">
        <f>0</f>
        <v>0</v>
      </c>
      <c r="I158" s="54">
        <f>0</f>
        <v>0</v>
      </c>
      <c r="J158" s="54">
        <f>0</f>
        <v>0</v>
      </c>
      <c r="K158" s="54">
        <f>0</f>
        <v>0</v>
      </c>
      <c r="L158" s="54">
        <f>0</f>
        <v>0</v>
      </c>
      <c r="M158" s="54">
        <f>0</f>
        <v>0</v>
      </c>
    </row>
    <row r="159" spans="1:14" ht="27" customHeight="1"/>
    <row r="160" spans="1:14">
      <c r="C160" s="12" t="s">
        <v>199</v>
      </c>
    </row>
  </sheetData>
  <mergeCells count="446">
    <mergeCell ref="L106:L107"/>
    <mergeCell ref="M106:M107"/>
    <mergeCell ref="B109:B110"/>
    <mergeCell ref="A106:A107"/>
    <mergeCell ref="C106:C107"/>
    <mergeCell ref="E106:E107"/>
    <mergeCell ref="F106:F107"/>
    <mergeCell ref="G106:G107"/>
    <mergeCell ref="H106:H107"/>
    <mergeCell ref="I106:I107"/>
    <mergeCell ref="J106:J107"/>
    <mergeCell ref="K106:K107"/>
    <mergeCell ref="L102:L103"/>
    <mergeCell ref="M102:M103"/>
    <mergeCell ref="A104:A105"/>
    <mergeCell ref="C104:C105"/>
    <mergeCell ref="H104:H105"/>
    <mergeCell ref="I104:I105"/>
    <mergeCell ref="J104:J105"/>
    <mergeCell ref="K104:K105"/>
    <mergeCell ref="L104:L105"/>
    <mergeCell ref="M104:M105"/>
    <mergeCell ref="A102:A103"/>
    <mergeCell ref="C102:C103"/>
    <mergeCell ref="E102:E103"/>
    <mergeCell ref="F102:F103"/>
    <mergeCell ref="G102:G103"/>
    <mergeCell ref="H102:H103"/>
    <mergeCell ref="I102:I103"/>
    <mergeCell ref="J102:J103"/>
    <mergeCell ref="K102:K103"/>
    <mergeCell ref="A100:A101"/>
    <mergeCell ref="C100:C101"/>
    <mergeCell ref="D100:D101"/>
    <mergeCell ref="H100:H101"/>
    <mergeCell ref="I100:I101"/>
    <mergeCell ref="J100:J101"/>
    <mergeCell ref="K100:K101"/>
    <mergeCell ref="L100:L101"/>
    <mergeCell ref="M100:M101"/>
    <mergeCell ref="A97:A98"/>
    <mergeCell ref="C97:C98"/>
    <mergeCell ref="D97:D98"/>
    <mergeCell ref="H97:H98"/>
    <mergeCell ref="I97:I98"/>
    <mergeCell ref="J97:J98"/>
    <mergeCell ref="K97:K98"/>
    <mergeCell ref="L97:L98"/>
    <mergeCell ref="M97:M98"/>
    <mergeCell ref="H93:H94"/>
    <mergeCell ref="I93:I94"/>
    <mergeCell ref="J93:J94"/>
    <mergeCell ref="K93:K94"/>
    <mergeCell ref="L93:L94"/>
    <mergeCell ref="M93:M94"/>
    <mergeCell ref="A95:A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A90:A91"/>
    <mergeCell ref="C90:C91"/>
    <mergeCell ref="D90:D91"/>
    <mergeCell ref="E90:E91"/>
    <mergeCell ref="A93:A94"/>
    <mergeCell ref="C93:C94"/>
    <mergeCell ref="E93:E94"/>
    <mergeCell ref="F93:F94"/>
    <mergeCell ref="G93:G94"/>
    <mergeCell ref="A83:A84"/>
    <mergeCell ref="C83:C84"/>
    <mergeCell ref="H83:H84"/>
    <mergeCell ref="I83:I84"/>
    <mergeCell ref="J83:J84"/>
    <mergeCell ref="K83:K84"/>
    <mergeCell ref="L83:L84"/>
    <mergeCell ref="M83:M84"/>
    <mergeCell ref="A88:A89"/>
    <mergeCell ref="C88:C89"/>
    <mergeCell ref="D88:D89"/>
    <mergeCell ref="E88:E89"/>
    <mergeCell ref="A81:A82"/>
    <mergeCell ref="C81:C82"/>
    <mergeCell ref="D81:D82"/>
    <mergeCell ref="H81:H82"/>
    <mergeCell ref="I81:I82"/>
    <mergeCell ref="J81:J82"/>
    <mergeCell ref="K81:K82"/>
    <mergeCell ref="L81:L82"/>
    <mergeCell ref="M81:M82"/>
    <mergeCell ref="H75:H76"/>
    <mergeCell ref="I75:I76"/>
    <mergeCell ref="J75:J76"/>
    <mergeCell ref="K75:K76"/>
    <mergeCell ref="L75:L76"/>
    <mergeCell ref="M75:M76"/>
    <mergeCell ref="A77:A78"/>
    <mergeCell ref="C77:C78"/>
    <mergeCell ref="A79:A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A71:A72"/>
    <mergeCell ref="C71:C72"/>
    <mergeCell ref="A73:A74"/>
    <mergeCell ref="C73:C74"/>
    <mergeCell ref="A75:A76"/>
    <mergeCell ref="C75:C76"/>
    <mergeCell ref="E75:E76"/>
    <mergeCell ref="F75:F76"/>
    <mergeCell ref="G75:G76"/>
    <mergeCell ref="A51:A52"/>
    <mergeCell ref="C51:C52"/>
    <mergeCell ref="D51:D52"/>
    <mergeCell ref="E51:E52"/>
    <mergeCell ref="I45:I46"/>
    <mergeCell ref="J45:J46"/>
    <mergeCell ref="K45:K46"/>
    <mergeCell ref="L45:L46"/>
    <mergeCell ref="M45:M46"/>
    <mergeCell ref="B47:B50"/>
    <mergeCell ref="J43:J44"/>
    <mergeCell ref="K43:K44"/>
    <mergeCell ref="L43:L44"/>
    <mergeCell ref="M43:M44"/>
    <mergeCell ref="A45:A46"/>
    <mergeCell ref="C45:C46"/>
    <mergeCell ref="E45:E46"/>
    <mergeCell ref="F45:F46"/>
    <mergeCell ref="G45:G46"/>
    <mergeCell ref="H45:H46"/>
    <mergeCell ref="B41:B42"/>
    <mergeCell ref="A43:A44"/>
    <mergeCell ref="C43:C44"/>
    <mergeCell ref="E43:E44"/>
    <mergeCell ref="F43:F44"/>
    <mergeCell ref="G43:G44"/>
    <mergeCell ref="H43:H44"/>
    <mergeCell ref="I43:I44"/>
    <mergeCell ref="F39:F40"/>
    <mergeCell ref="G39:G40"/>
    <mergeCell ref="H39:H40"/>
    <mergeCell ref="I39:I40"/>
    <mergeCell ref="A37:A38"/>
    <mergeCell ref="C37:C38"/>
    <mergeCell ref="E37:E38"/>
    <mergeCell ref="A39:A40"/>
    <mergeCell ref="C39:C40"/>
    <mergeCell ref="E39:E40"/>
    <mergeCell ref="L25:L26"/>
    <mergeCell ref="M25:M26"/>
    <mergeCell ref="A35:A36"/>
    <mergeCell ref="C35:C36"/>
    <mergeCell ref="E35:E36"/>
    <mergeCell ref="F25:F26"/>
    <mergeCell ref="G25:G26"/>
    <mergeCell ref="H25:H26"/>
    <mergeCell ref="I25:I26"/>
    <mergeCell ref="J25:J26"/>
    <mergeCell ref="K25:K26"/>
    <mergeCell ref="L39:L40"/>
    <mergeCell ref="M39:M40"/>
    <mergeCell ref="J39:J40"/>
    <mergeCell ref="K39:K40"/>
    <mergeCell ref="H18:H19"/>
    <mergeCell ref="A23:A24"/>
    <mergeCell ref="C23:C24"/>
    <mergeCell ref="E23:E24"/>
    <mergeCell ref="A25:A26"/>
    <mergeCell ref="C25:C26"/>
    <mergeCell ref="E25:E26"/>
    <mergeCell ref="H21:H22"/>
    <mergeCell ref="I21:I22"/>
    <mergeCell ref="A21:A22"/>
    <mergeCell ref="C21:C22"/>
    <mergeCell ref="E21:E22"/>
    <mergeCell ref="F21:F22"/>
    <mergeCell ref="G21:G22"/>
    <mergeCell ref="A18:A19"/>
    <mergeCell ref="C18:C19"/>
    <mergeCell ref="E18:E19"/>
    <mergeCell ref="F18:F19"/>
    <mergeCell ref="G18:G19"/>
    <mergeCell ref="L14:L15"/>
    <mergeCell ref="M14:M15"/>
    <mergeCell ref="K21:K22"/>
    <mergeCell ref="L21:L22"/>
    <mergeCell ref="M21:M22"/>
    <mergeCell ref="I18:I19"/>
    <mergeCell ref="J18:J19"/>
    <mergeCell ref="K18:K19"/>
    <mergeCell ref="L18:L19"/>
    <mergeCell ref="M18:M19"/>
    <mergeCell ref="J21:J22"/>
    <mergeCell ref="A16:A17"/>
    <mergeCell ref="C16:C17"/>
    <mergeCell ref="E16:E17"/>
    <mergeCell ref="F16:F17"/>
    <mergeCell ref="G16:G17"/>
    <mergeCell ref="J11:J12"/>
    <mergeCell ref="K11:K12"/>
    <mergeCell ref="L11:L12"/>
    <mergeCell ref="M11:M12"/>
    <mergeCell ref="A14:A15"/>
    <mergeCell ref="C14:C15"/>
    <mergeCell ref="E14:E15"/>
    <mergeCell ref="F14:F15"/>
    <mergeCell ref="G14:G15"/>
    <mergeCell ref="H14:H15"/>
    <mergeCell ref="H16:H17"/>
    <mergeCell ref="I16:I17"/>
    <mergeCell ref="J16:J17"/>
    <mergeCell ref="K16:K17"/>
    <mergeCell ref="L16:L17"/>
    <mergeCell ref="M16:M17"/>
    <mergeCell ref="I14:I15"/>
    <mergeCell ref="J14:J15"/>
    <mergeCell ref="K14:K15"/>
    <mergeCell ref="K9:K10"/>
    <mergeCell ref="L9:L10"/>
    <mergeCell ref="M9:M10"/>
    <mergeCell ref="A11:A12"/>
    <mergeCell ref="C11:C12"/>
    <mergeCell ref="E11:E12"/>
    <mergeCell ref="F11:F12"/>
    <mergeCell ref="G11:G12"/>
    <mergeCell ref="H11:H12"/>
    <mergeCell ref="I11:I12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A5:A6"/>
    <mergeCell ref="C5:C6"/>
    <mergeCell ref="A7:A8"/>
    <mergeCell ref="C7:C8"/>
    <mergeCell ref="D7:D8"/>
    <mergeCell ref="E7:E8"/>
    <mergeCell ref="F7:F8"/>
    <mergeCell ref="M7:M8"/>
    <mergeCell ref="G7:G8"/>
    <mergeCell ref="H7:H8"/>
    <mergeCell ref="I7:I8"/>
    <mergeCell ref="J7:J8"/>
    <mergeCell ref="K7:K8"/>
    <mergeCell ref="L7:L8"/>
    <mergeCell ref="A3:A4"/>
    <mergeCell ref="C3:C4"/>
    <mergeCell ref="E3:E4"/>
    <mergeCell ref="F3:F4"/>
    <mergeCell ref="G3:G4"/>
    <mergeCell ref="H3:H4"/>
    <mergeCell ref="I3:I4"/>
    <mergeCell ref="J3:J4"/>
    <mergeCell ref="A1:M1"/>
    <mergeCell ref="K3:K4"/>
    <mergeCell ref="L3:L4"/>
    <mergeCell ref="M3:M4"/>
    <mergeCell ref="A53:A54"/>
    <mergeCell ref="C53:C54"/>
    <mergeCell ref="D53:D54"/>
    <mergeCell ref="E53:E54"/>
    <mergeCell ref="B55:B59"/>
    <mergeCell ref="A60:A61"/>
    <mergeCell ref="C60:C61"/>
    <mergeCell ref="D60:D61"/>
    <mergeCell ref="E60:E61"/>
    <mergeCell ref="M60:M61"/>
    <mergeCell ref="A64:A65"/>
    <mergeCell ref="C64:C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L68:L69"/>
    <mergeCell ref="M68:M69"/>
    <mergeCell ref="A68:A69"/>
    <mergeCell ref="C68:C69"/>
    <mergeCell ref="E68:E69"/>
    <mergeCell ref="F68:F69"/>
    <mergeCell ref="G68:G69"/>
    <mergeCell ref="H68:H69"/>
    <mergeCell ref="I68:I69"/>
    <mergeCell ref="J68:J69"/>
    <mergeCell ref="K68:K69"/>
    <mergeCell ref="L112:L113"/>
    <mergeCell ref="M112:M113"/>
    <mergeCell ref="A114:A115"/>
    <mergeCell ref="C114:C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A112:A113"/>
    <mergeCell ref="C112:C113"/>
    <mergeCell ref="E112:E113"/>
    <mergeCell ref="F112:F113"/>
    <mergeCell ref="G112:G113"/>
    <mergeCell ref="H112:H113"/>
    <mergeCell ref="I112:I113"/>
    <mergeCell ref="J112:J113"/>
    <mergeCell ref="K112:K113"/>
    <mergeCell ref="L116:L117"/>
    <mergeCell ref="M116:M117"/>
    <mergeCell ref="A118:A119"/>
    <mergeCell ref="C118:C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A116:A117"/>
    <mergeCell ref="C116:C117"/>
    <mergeCell ref="E116:E117"/>
    <mergeCell ref="F116:F117"/>
    <mergeCell ref="G116:G117"/>
    <mergeCell ref="H116:H117"/>
    <mergeCell ref="I116:I117"/>
    <mergeCell ref="J116:J117"/>
    <mergeCell ref="K116:K117"/>
    <mergeCell ref="L120:L121"/>
    <mergeCell ref="M120:M121"/>
    <mergeCell ref="A123:A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A120:A121"/>
    <mergeCell ref="C120:C121"/>
    <mergeCell ref="E120:E121"/>
    <mergeCell ref="F120:F121"/>
    <mergeCell ref="G120:G121"/>
    <mergeCell ref="H120:H121"/>
    <mergeCell ref="I120:I121"/>
    <mergeCell ref="J120:J121"/>
    <mergeCell ref="K120:K121"/>
    <mergeCell ref="J129:J130"/>
    <mergeCell ref="K129:K130"/>
    <mergeCell ref="L125:L126"/>
    <mergeCell ref="M125:M126"/>
    <mergeCell ref="A127:A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A125:A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H133:H134"/>
    <mergeCell ref="I133:I134"/>
    <mergeCell ref="J133:J134"/>
    <mergeCell ref="K133:K134"/>
    <mergeCell ref="L129:L130"/>
    <mergeCell ref="M129:M130"/>
    <mergeCell ref="A131:A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A129:A130"/>
    <mergeCell ref="C129:C130"/>
    <mergeCell ref="E129:E130"/>
    <mergeCell ref="F129:F130"/>
    <mergeCell ref="G129:G130"/>
    <mergeCell ref="H129:H130"/>
    <mergeCell ref="I129:I130"/>
    <mergeCell ref="L133:L134"/>
    <mergeCell ref="M133:M134"/>
    <mergeCell ref="A151:A152"/>
    <mergeCell ref="C151:C152"/>
    <mergeCell ref="B153:B158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135:B136"/>
    <mergeCell ref="B137:B140"/>
    <mergeCell ref="B27:B32"/>
    <mergeCell ref="B142:B143"/>
    <mergeCell ref="B145:B148"/>
    <mergeCell ref="A133:A134"/>
    <mergeCell ref="C133:C134"/>
    <mergeCell ref="E133:E134"/>
    <mergeCell ref="F133:F134"/>
    <mergeCell ref="G133:G134"/>
  </mergeCells>
  <conditionalFormatting sqref="F88:M88 D86:M86 D88">
    <cfRule type="expression" dxfId="0" priority="1" stopIfTrue="1">
      <formula>LEFT(D86,3)="Nie"</formula>
    </cfRule>
  </conditionalFormatting>
  <pageMargins left="0.21" right="0.19" top="0.56000000000000005" bottom="0.33" header="0.31496062992125984" footer="0.31496062992125984"/>
  <pageSetup paperSize="9" scale="85" orientation="landscape" copies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2015-08-31T13:19:19Z</dcterms:modified>
</cp:coreProperties>
</file>